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/>
  <mc:AlternateContent xmlns:mc="http://schemas.openxmlformats.org/markup-compatibility/2006">
    <mc:Choice Requires="x15">
      <x15ac:absPath xmlns:x15ac="http://schemas.microsoft.com/office/spreadsheetml/2010/11/ac" url="https://d.docs.live.net/e5c32ad188699074/Plocha/"/>
    </mc:Choice>
  </mc:AlternateContent>
  <xr:revisionPtr revIDLastSave="6" documentId="8_{6872AE20-52F7-42C9-8680-36F583FFC618}" xr6:coauthVersionLast="47" xr6:coauthVersionMax="47" xr10:uidLastSave="{9BCA6C8C-9332-4002-BC74-59D503384E19}"/>
  <bookViews>
    <workbookView xWindow="19095" yWindow="0" windowWidth="38610" windowHeight="20985" tabRatio="924" activeTab="4" xr2:uid="{00000000-000D-0000-FFFF-FFFF00000000}"/>
  </bookViews>
  <sheets>
    <sheet name="krycí list" sheetId="10" r:id="rId1"/>
    <sheet name="SO 01" sheetId="18" r:id="rId2"/>
    <sheet name="SO 02" sheetId="19" r:id="rId3"/>
    <sheet name="PS 01" sheetId="11" r:id="rId4"/>
    <sheet name="PS 01-2" sheetId="9" r:id="rId5"/>
    <sheet name="PS 02" sheetId="13" r:id="rId6"/>
    <sheet name="PS 02-2" sheetId="14" r:id="rId7"/>
  </sheets>
  <definedNames>
    <definedName name="aaa">#REF!</definedName>
    <definedName name="asdfasf" localSheetId="5">#REF!</definedName>
    <definedName name="asdfasf" localSheetId="6">#REF!</definedName>
    <definedName name="asdfasf">#REF!</definedName>
    <definedName name="Branch" localSheetId="5">#REF!</definedName>
    <definedName name="Branch" localSheetId="6">#REF!</definedName>
    <definedName name="Branch">#REF!</definedName>
    <definedName name="BusinessArea" localSheetId="5">#REF!</definedName>
    <definedName name="BusinessArea" localSheetId="6">#REF!</definedName>
    <definedName name="BusinessArea">#REF!</definedName>
    <definedName name="CalculatedOrderPriceUSD" localSheetId="5">#REF!</definedName>
    <definedName name="CalculatedOrderPriceUSD" localSheetId="6">#REF!</definedName>
    <definedName name="CalculationCurrency" localSheetId="5">#REF!</definedName>
    <definedName name="CalculationCurrency" localSheetId="6">#REF!</definedName>
    <definedName name="CalculationCurrency">#REF!</definedName>
    <definedName name="Country" localSheetId="5">#REF!</definedName>
    <definedName name="Country" localSheetId="6">#REF!</definedName>
    <definedName name="Country">#REF!</definedName>
    <definedName name="CountryEU" localSheetId="5">#REF!</definedName>
    <definedName name="CountryEU" localSheetId="6">#REF!</definedName>
    <definedName name="CountryEU">#REF!</definedName>
    <definedName name="CountryRiskLevel" localSheetId="5">#REF!</definedName>
    <definedName name="CountryRiskLevel" localSheetId="6">#REF!</definedName>
    <definedName name="CountryRiskLevel">#REF!</definedName>
    <definedName name="Currency" localSheetId="5">#REF!</definedName>
    <definedName name="Currency" localSheetId="6">#REF!</definedName>
    <definedName name="Currency">#REF!</definedName>
    <definedName name="Est_copy_první" localSheetId="5">#REF!</definedName>
    <definedName name="Est_copy_první" localSheetId="6">#REF!</definedName>
    <definedName name="Est_copy_první">#REF!</definedName>
    <definedName name="Est_poslední" localSheetId="5">#REF!</definedName>
    <definedName name="Est_poslední" localSheetId="6">#REF!</definedName>
    <definedName name="Est_poslední">#REF!</definedName>
    <definedName name="Excel_BuiltIn_Print_Area">#REF!</definedName>
    <definedName name="Excel_BuiltIn_Print_Area_1">#N/A</definedName>
    <definedName name="Excel_BuiltIn_Print_Area_1_1">#REF!</definedName>
    <definedName name="Excel_BuiltIn_Print_Area_10">#N/A</definedName>
    <definedName name="Excel_BuiltIn_Print_Area_11">#N/A</definedName>
    <definedName name="Excel_BuiltIn_Print_Area_12">#N/A</definedName>
    <definedName name="Excel_BuiltIn_Print_Area_2">#N/A</definedName>
    <definedName name="Excel_BuiltIn_Print_Area_2_1">#N/A</definedName>
    <definedName name="Excel_BuiltIn_Print_Area_4">#N/A</definedName>
    <definedName name="Excel_BuiltIn_Print_Area_5">#N/A</definedName>
    <definedName name="Excel_BuiltIn_Print_Area_9">#N/A</definedName>
    <definedName name="Excel_BuiltIn_Print_Titles_1_1">#REF!</definedName>
    <definedName name="Excel_BuiltIn_Print_Titles_2">#REF!</definedName>
    <definedName name="Excel_BuiltIn_Print_Titles_4">#N/A</definedName>
    <definedName name="Excel_BuiltIn_Print_Titles_5">#N/A</definedName>
    <definedName name="Excel_BuiltIn_Print_Titles_9">#N/A</definedName>
    <definedName name="ExpectedCompletionDate" localSheetId="5">#REF!</definedName>
    <definedName name="ExpectedCompletionDate" localSheetId="6">#REF!</definedName>
    <definedName name="ExpectedOrderDate" localSheetId="5">#REF!</definedName>
    <definedName name="ExpectedOrderDate" localSheetId="6">#REF!</definedName>
    <definedName name="ExpectedOrderDate">#REF!</definedName>
    <definedName name="ExpectedOrderPriceLCR" localSheetId="5">#REF!</definedName>
    <definedName name="ExpectedOrderPriceLCR" localSheetId="6">#REF!</definedName>
    <definedName name="ExpectedOrderPriceLCR">#REF!</definedName>
    <definedName name="ExpectedOrderPriceUSD" localSheetId="5">#REF!</definedName>
    <definedName name="ExpectedOrderPriceUSD" localSheetId="6">#REF!</definedName>
    <definedName name="ExpectedOrderPriceUSD">#REF!</definedName>
    <definedName name="ExpectedProjectStart" localSheetId="5">#REF!</definedName>
    <definedName name="ExpectedProjectStart" localSheetId="6">#REF!</definedName>
    <definedName name="ExpectedProjectStart">#REF!</definedName>
    <definedName name="ExportProject" localSheetId="5">#REF!</definedName>
    <definedName name="ExportProject" localSheetId="6">#REF!</definedName>
    <definedName name="ExportProject">#REF!</definedName>
    <definedName name="FinalPreBidTreshold" localSheetId="5">#REF!</definedName>
    <definedName name="FinalPreBidTreshold" localSheetId="6">#REF!</definedName>
    <definedName name="FinalPreBidTreshold">#REF!</definedName>
    <definedName name="HighRiskProject" localSheetId="5">#REF!</definedName>
    <definedName name="HighRiskProject" localSheetId="6">#REF!</definedName>
    <definedName name="HighRiskProject">#REF!</definedName>
    <definedName name="CharacterOfContract" localSheetId="5">#REF!</definedName>
    <definedName name="CharacterOfContract" localSheetId="6">#REF!</definedName>
    <definedName name="CharacterOfContract">#REF!</definedName>
    <definedName name="CharacterOfPrice" localSheetId="5">#REF!</definedName>
    <definedName name="CharacterOfPrice" localSheetId="6">#REF!</definedName>
    <definedName name="CharacterOfPrice">#REF!</definedName>
    <definedName name="Incoterms2010" localSheetId="5">#REF!</definedName>
    <definedName name="Incoterms2010" localSheetId="6">#REF!</definedName>
    <definedName name="Incoterms2010">#REF!</definedName>
    <definedName name="Integr_poslední" localSheetId="5">#REF!</definedName>
    <definedName name="Integr_poslední" localSheetId="6">#REF!</definedName>
    <definedName name="Integr_poslední">#REF!</definedName>
    <definedName name="InterestRate">#REF!</definedName>
    <definedName name="JCICompany" localSheetId="5">#REF!</definedName>
    <definedName name="JCICompany" localSheetId="6">#REF!</definedName>
    <definedName name="JCICompany">#REF!</definedName>
    <definedName name="LookupDOA" localSheetId="5">#REF!</definedName>
    <definedName name="LookupDOA" localSheetId="6">#REF!</definedName>
    <definedName name="LookupDOA">#REF!</definedName>
    <definedName name="Manufacturing" localSheetId="5">#REF!</definedName>
    <definedName name="Manufacturing" localSheetId="6">#REF!</definedName>
    <definedName name="Manufacturing">#REF!</definedName>
    <definedName name="_xlnm.Print_Titles" localSheetId="3">'PS 01'!$1:$3</definedName>
    <definedName name="_xlnm.Print_Area" localSheetId="0">'krycí list'!$B$1:$I$55</definedName>
    <definedName name="_xlnm.Print_Area" localSheetId="3">'PS 01'!$A$1:$F$174</definedName>
    <definedName name="_xlnm.Print_Area" localSheetId="4">'PS 01-2'!$A$1:$F$178</definedName>
    <definedName name="_xlnm.Print_Area" localSheetId="5">'PS 02'!$A$1:$I$110</definedName>
    <definedName name="_xlnm.Print_Area" localSheetId="6">'PS 02-2'!$A$1:$I$116</definedName>
    <definedName name="OrderType" localSheetId="5">#REF!</definedName>
    <definedName name="OrderType" localSheetId="6">#REF!</definedName>
    <definedName name="OrderType">#REF!</definedName>
    <definedName name="Risk" localSheetId="5">#REF!</definedName>
    <definedName name="Risk" localSheetId="6">#REF!</definedName>
    <definedName name="Risk">#REF!</definedName>
    <definedName name="SADaefsedf">#REF!</definedName>
    <definedName name="SelectedCurrency" localSheetId="5">IF('PS 02'!CalculationCurrency="",'PS 02'!Currency,'PS 02'!CalculationCurrency)</definedName>
    <definedName name="SelectedCurrency" localSheetId="6">IF('PS 02-2'!CalculationCurrency="",'PS 02-2'!Currency,'PS 02-2'!CalculationCurrency)</definedName>
    <definedName name="SelectedCurrency" localSheetId="1">IF(CalculationCurrency="",Currency,CalculationCurrency)</definedName>
    <definedName name="SelectedCurrency" localSheetId="2">IF(CalculationCurrency="",Currency,CalculationCurrency)</definedName>
    <definedName name="SelectedCurrency">IF(CalculationCurrency="",Currency,CalculationCurrency)</definedName>
    <definedName name="SelectedFinalPreBidTreshold" localSheetId="5">#REF!</definedName>
    <definedName name="SelectedFinalPreBidTreshold" localSheetId="6">#REF!</definedName>
    <definedName name="SelectedFinalPreBidTreshold">#REF!</definedName>
    <definedName name="Spodek" localSheetId="5">#REF!</definedName>
    <definedName name="Spodek" localSheetId="6">#REF!</definedName>
    <definedName name="Spodek">#REF!</definedName>
    <definedName name="SWnákup" localSheetId="5">#REF!</definedName>
    <definedName name="SWnákup" localSheetId="6">#REF!</definedName>
    <definedName name="SWnákup">#REF!</definedName>
    <definedName name="SWprodej" localSheetId="5">#REF!</definedName>
    <definedName name="SWprodej" localSheetId="6">#REF!</definedName>
    <definedName name="SWprodej">#REF!</definedName>
    <definedName name="TC" localSheetId="5">#REF!</definedName>
    <definedName name="TC" localSheetId="6">#REF!</definedName>
    <definedName name="TC">#REF!</definedName>
    <definedName name="Yesno" localSheetId="5">#REF!</definedName>
    <definedName name="Yesno" localSheetId="6">#REF!</definedName>
    <definedName name="Yesno">#REF!</definedName>
    <definedName name="YesNoNA" localSheetId="5">#REF!</definedName>
    <definedName name="YesNoNA" localSheetId="6">#REF!</definedName>
    <definedName name="YesNo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2" i="9" l="1"/>
  <c r="F176" i="9"/>
  <c r="F175" i="9"/>
  <c r="F173" i="9"/>
  <c r="F166" i="9"/>
  <c r="F152" i="9"/>
  <c r="K266" i="18"/>
  <c r="F144" i="9"/>
  <c r="F112" i="9"/>
  <c r="F149" i="9"/>
  <c r="F118" i="9"/>
  <c r="F85" i="9"/>
  <c r="F174" i="11"/>
  <c r="F95" i="11"/>
  <c r="E51" i="11" s="1"/>
  <c r="BJ362" i="19"/>
  <c r="AH362" i="19" s="1"/>
  <c r="BD362" i="19"/>
  <c r="AP362" i="19"/>
  <c r="AO362" i="19"/>
  <c r="Z362" i="19"/>
  <c r="M362" i="19"/>
  <c r="BF362" i="19" s="1"/>
  <c r="K362" i="19"/>
  <c r="AL362" i="19" s="1"/>
  <c r="BJ361" i="19"/>
  <c r="Z361" i="19" s="1"/>
  <c r="BD361" i="19"/>
  <c r="AX361" i="19"/>
  <c r="AP361" i="19"/>
  <c r="J361" i="19" s="1"/>
  <c r="AO361" i="19"/>
  <c r="BH361" i="19" s="1"/>
  <c r="AJ361" i="19"/>
  <c r="AH361" i="19"/>
  <c r="M361" i="19"/>
  <c r="BF361" i="19" s="1"/>
  <c r="K361" i="19"/>
  <c r="AL361" i="19" s="1"/>
  <c r="BJ360" i="19"/>
  <c r="Z360" i="19" s="1"/>
  <c r="BI360" i="19"/>
  <c r="AC360" i="19" s="1"/>
  <c r="BH360" i="19"/>
  <c r="AB360" i="19" s="1"/>
  <c r="BD360" i="19"/>
  <c r="AW360" i="19"/>
  <c r="BC360" i="19" s="1"/>
  <c r="AP360" i="19"/>
  <c r="AX360" i="19" s="1"/>
  <c r="AO360" i="19"/>
  <c r="AK360" i="19"/>
  <c r="AG360" i="19"/>
  <c r="AF360" i="19"/>
  <c r="AE360" i="19"/>
  <c r="M360" i="19"/>
  <c r="BF360" i="19" s="1"/>
  <c r="K360" i="19"/>
  <c r="AL360" i="19" s="1"/>
  <c r="I360" i="19"/>
  <c r="BJ359" i="19"/>
  <c r="Z359" i="19" s="1"/>
  <c r="BF359" i="19"/>
  <c r="BD359" i="19"/>
  <c r="AP359" i="19"/>
  <c r="AX359" i="19" s="1"/>
  <c r="AO359" i="19"/>
  <c r="AW359" i="19" s="1"/>
  <c r="AK359" i="19"/>
  <c r="AJ359" i="19"/>
  <c r="M359" i="19"/>
  <c r="K359" i="19"/>
  <c r="BJ356" i="19"/>
  <c r="Z356" i="19" s="1"/>
  <c r="BI356" i="19"/>
  <c r="AG356" i="19" s="1"/>
  <c r="BD356" i="19"/>
  <c r="AX356" i="19"/>
  <c r="AW356" i="19"/>
  <c r="AP356" i="19"/>
  <c r="AO356" i="19"/>
  <c r="BH356" i="19" s="1"/>
  <c r="AD356" i="19"/>
  <c r="AC356" i="19"/>
  <c r="M356" i="19"/>
  <c r="BF356" i="19" s="1"/>
  <c r="K356" i="19"/>
  <c r="AL356" i="19" s="1"/>
  <c r="J356" i="19"/>
  <c r="I356" i="19"/>
  <c r="BJ354" i="19"/>
  <c r="Z354" i="19" s="1"/>
  <c r="BF354" i="19"/>
  <c r="BD354" i="19"/>
  <c r="AP354" i="19"/>
  <c r="AX354" i="19" s="1"/>
  <c r="AO354" i="19"/>
  <c r="AW354" i="19" s="1"/>
  <c r="AV354" i="19" s="1"/>
  <c r="AJ354" i="19"/>
  <c r="AH354" i="19"/>
  <c r="AG354" i="19"/>
  <c r="AF354" i="19"/>
  <c r="AE354" i="19"/>
  <c r="M354" i="19"/>
  <c r="K354" i="19"/>
  <c r="AL354" i="19" s="1"/>
  <c r="J354" i="19"/>
  <c r="I354" i="19"/>
  <c r="BJ352" i="19"/>
  <c r="AH352" i="19" s="1"/>
  <c r="BD352" i="19"/>
  <c r="AP352" i="19"/>
  <c r="AX352" i="19" s="1"/>
  <c r="AO352" i="19"/>
  <c r="AW352" i="19" s="1"/>
  <c r="AJ352" i="19"/>
  <c r="Z352" i="19"/>
  <c r="M352" i="19"/>
  <c r="BF352" i="19" s="1"/>
  <c r="K352" i="19"/>
  <c r="AL352" i="19" s="1"/>
  <c r="BJ350" i="19"/>
  <c r="BD350" i="19"/>
  <c r="AP350" i="19"/>
  <c r="AX350" i="19" s="1"/>
  <c r="AO350" i="19"/>
  <c r="BH350" i="19" s="1"/>
  <c r="M350" i="19"/>
  <c r="BF350" i="19" s="1"/>
  <c r="K350" i="19"/>
  <c r="BJ347" i="19"/>
  <c r="Z347" i="19" s="1"/>
  <c r="BD347" i="19"/>
  <c r="AP347" i="19"/>
  <c r="AX347" i="19" s="1"/>
  <c r="AO347" i="19"/>
  <c r="AW347" i="19" s="1"/>
  <c r="AK347" i="19"/>
  <c r="AT346" i="19" s="1"/>
  <c r="AJ347" i="19"/>
  <c r="AS346" i="19" s="1"/>
  <c r="M347" i="19"/>
  <c r="M346" i="19" s="1"/>
  <c r="K347" i="19"/>
  <c r="K346" i="19" s="1"/>
  <c r="BJ344" i="19"/>
  <c r="Z344" i="19" s="1"/>
  <c r="BD344" i="19"/>
  <c r="AP344" i="19"/>
  <c r="BI344" i="19" s="1"/>
  <c r="AG344" i="19" s="1"/>
  <c r="AO344" i="19"/>
  <c r="BH344" i="19" s="1"/>
  <c r="M344" i="19"/>
  <c r="BF344" i="19" s="1"/>
  <c r="K344" i="19"/>
  <c r="AL344" i="19" s="1"/>
  <c r="AU343" i="19" s="1"/>
  <c r="M343" i="19"/>
  <c r="BJ341" i="19"/>
  <c r="Z341" i="19" s="1"/>
  <c r="BD341" i="19"/>
  <c r="AP341" i="19"/>
  <c r="AO341" i="19"/>
  <c r="AH341" i="19"/>
  <c r="M341" i="19"/>
  <c r="K341" i="19"/>
  <c r="AL341" i="19" s="1"/>
  <c r="BJ339" i="19"/>
  <c r="Z339" i="19" s="1"/>
  <c r="BD339" i="19"/>
  <c r="AX339" i="19"/>
  <c r="AP339" i="19"/>
  <c r="BI339" i="19" s="1"/>
  <c r="AO339" i="19"/>
  <c r="BH339" i="19" s="1"/>
  <c r="AK339" i="19"/>
  <c r="AJ339" i="19"/>
  <c r="M339" i="19"/>
  <c r="BF339" i="19" s="1"/>
  <c r="K339" i="19"/>
  <c r="AL339" i="19" s="1"/>
  <c r="J339" i="19"/>
  <c r="BJ336" i="19"/>
  <c r="AH336" i="19" s="1"/>
  <c r="BD336" i="19"/>
  <c r="AP336" i="19"/>
  <c r="AO336" i="19"/>
  <c r="M336" i="19"/>
  <c r="K336" i="19"/>
  <c r="BJ329" i="19"/>
  <c r="AH329" i="19" s="1"/>
  <c r="BD329" i="19"/>
  <c r="AW329" i="19"/>
  <c r="AP329" i="19"/>
  <c r="AO329" i="19"/>
  <c r="BH329" i="19" s="1"/>
  <c r="AK329" i="19"/>
  <c r="Z329" i="19"/>
  <c r="M329" i="19"/>
  <c r="BF329" i="19" s="1"/>
  <c r="K329" i="19"/>
  <c r="AL329" i="19" s="1"/>
  <c r="BJ326" i="19"/>
  <c r="BD326" i="19"/>
  <c r="AX326" i="19"/>
  <c r="AP326" i="19"/>
  <c r="BI326" i="19" s="1"/>
  <c r="AO326" i="19"/>
  <c r="M326" i="19"/>
  <c r="K326" i="19"/>
  <c r="BJ323" i="19"/>
  <c r="Z323" i="19" s="1"/>
  <c r="BD323" i="19"/>
  <c r="AP323" i="19"/>
  <c r="AX323" i="19" s="1"/>
  <c r="AO323" i="19"/>
  <c r="AW323" i="19" s="1"/>
  <c r="AJ323" i="19"/>
  <c r="AS322" i="19" s="1"/>
  <c r="AH323" i="19"/>
  <c r="M323" i="19"/>
  <c r="BF323" i="19" s="1"/>
  <c r="K323" i="19"/>
  <c r="K322" i="19" s="1"/>
  <c r="BJ320" i="19"/>
  <c r="Z320" i="19" s="1"/>
  <c r="BH320" i="19"/>
  <c r="AB320" i="19" s="1"/>
  <c r="BD320" i="19"/>
  <c r="AP320" i="19"/>
  <c r="BI320" i="19" s="1"/>
  <c r="AE320" i="19" s="1"/>
  <c r="AO320" i="19"/>
  <c r="AW320" i="19" s="1"/>
  <c r="AH320" i="19"/>
  <c r="M320" i="19"/>
  <c r="BF320" i="19" s="1"/>
  <c r="K320" i="19"/>
  <c r="AL320" i="19" s="1"/>
  <c r="I320" i="19"/>
  <c r="BJ318" i="19"/>
  <c r="Z318" i="19" s="1"/>
  <c r="BF318" i="19"/>
  <c r="BD318" i="19"/>
  <c r="AP318" i="19"/>
  <c r="AX318" i="19" s="1"/>
  <c r="AO318" i="19"/>
  <c r="AW318" i="19" s="1"/>
  <c r="M318" i="19"/>
  <c r="K318" i="19"/>
  <c r="AL318" i="19" s="1"/>
  <c r="J318" i="19"/>
  <c r="BJ316" i="19"/>
  <c r="Z316" i="19" s="1"/>
  <c r="BH316" i="19"/>
  <c r="BD316" i="19"/>
  <c r="AP316" i="19"/>
  <c r="AX316" i="19" s="1"/>
  <c r="AO316" i="19"/>
  <c r="AW316" i="19" s="1"/>
  <c r="AH316" i="19"/>
  <c r="M316" i="19"/>
  <c r="BF316" i="19" s="1"/>
  <c r="K316" i="19"/>
  <c r="AL316" i="19" s="1"/>
  <c r="J316" i="19"/>
  <c r="I316" i="19"/>
  <c r="BJ314" i="19"/>
  <c r="BD314" i="19"/>
  <c r="AP314" i="19"/>
  <c r="BI314" i="19" s="1"/>
  <c r="AO314" i="19"/>
  <c r="M314" i="19"/>
  <c r="BF314" i="19" s="1"/>
  <c r="K314" i="19"/>
  <c r="J314" i="19"/>
  <c r="BJ312" i="19"/>
  <c r="AH312" i="19" s="1"/>
  <c r="BD312" i="19"/>
  <c r="AP312" i="19"/>
  <c r="AO312" i="19"/>
  <c r="AJ312" i="19"/>
  <c r="M312" i="19"/>
  <c r="BF312" i="19" s="1"/>
  <c r="K312" i="19"/>
  <c r="AL312" i="19" s="1"/>
  <c r="BJ310" i="19"/>
  <c r="Z310" i="19" s="1"/>
  <c r="BD310" i="19"/>
  <c r="AX310" i="19"/>
  <c r="AP310" i="19"/>
  <c r="J310" i="19" s="1"/>
  <c r="AO310" i="19"/>
  <c r="AW310" i="19" s="1"/>
  <c r="AD310" i="19"/>
  <c r="M310" i="19"/>
  <c r="BF310" i="19" s="1"/>
  <c r="K310" i="19"/>
  <c r="AL310" i="19" s="1"/>
  <c r="BJ306" i="19"/>
  <c r="Z306" i="19" s="1"/>
  <c r="BD306" i="19"/>
  <c r="AP306" i="19"/>
  <c r="BI306" i="19" s="1"/>
  <c r="AE306" i="19" s="1"/>
  <c r="AO306" i="19"/>
  <c r="AW306" i="19" s="1"/>
  <c r="AK306" i="19"/>
  <c r="AH306" i="19"/>
  <c r="M306" i="19"/>
  <c r="BF306" i="19" s="1"/>
  <c r="K306" i="19"/>
  <c r="BJ304" i="19"/>
  <c r="Z304" i="19" s="1"/>
  <c r="BD304" i="19"/>
  <c r="AP304" i="19"/>
  <c r="AX304" i="19" s="1"/>
  <c r="AO304" i="19"/>
  <c r="AW304" i="19" s="1"/>
  <c r="AJ304" i="19"/>
  <c r="AH304" i="19"/>
  <c r="M304" i="19"/>
  <c r="BF304" i="19" s="1"/>
  <c r="K304" i="19"/>
  <c r="AL304" i="19" s="1"/>
  <c r="BJ301" i="19"/>
  <c r="Z301" i="19" s="1"/>
  <c r="BI301" i="19"/>
  <c r="AG301" i="19" s="1"/>
  <c r="BF301" i="19"/>
  <c r="BD301" i="19"/>
  <c r="AP301" i="19"/>
  <c r="AX301" i="19" s="1"/>
  <c r="AO301" i="19"/>
  <c r="BH301" i="19" s="1"/>
  <c r="AD301" i="19"/>
  <c r="M301" i="19"/>
  <c r="K301" i="19"/>
  <c r="AL301" i="19" s="1"/>
  <c r="J301" i="19"/>
  <c r="BJ299" i="19"/>
  <c r="BF299" i="19"/>
  <c r="BD299" i="19"/>
  <c r="AP299" i="19"/>
  <c r="AX299" i="19" s="1"/>
  <c r="AO299" i="19"/>
  <c r="AW299" i="19" s="1"/>
  <c r="BC299" i="19" s="1"/>
  <c r="AJ299" i="19"/>
  <c r="AH299" i="19"/>
  <c r="AG299" i="19"/>
  <c r="AE299" i="19"/>
  <c r="Z299" i="19"/>
  <c r="M299" i="19"/>
  <c r="K299" i="19"/>
  <c r="J299" i="19"/>
  <c r="M298" i="19"/>
  <c r="BJ296" i="19"/>
  <c r="AH296" i="19" s="1"/>
  <c r="BD296" i="19"/>
  <c r="AX296" i="19"/>
  <c r="AP296" i="19"/>
  <c r="BI296" i="19" s="1"/>
  <c r="AO296" i="19"/>
  <c r="AW296" i="19" s="1"/>
  <c r="AJ296" i="19"/>
  <c r="Z296" i="19"/>
  <c r="M296" i="19"/>
  <c r="BF296" i="19" s="1"/>
  <c r="K296" i="19"/>
  <c r="AL296" i="19" s="1"/>
  <c r="J296" i="19"/>
  <c r="BJ291" i="19"/>
  <c r="Z291" i="19" s="1"/>
  <c r="BF291" i="19"/>
  <c r="BD291" i="19"/>
  <c r="AX291" i="19"/>
  <c r="AP291" i="19"/>
  <c r="BI291" i="19" s="1"/>
  <c r="AO291" i="19"/>
  <c r="BH291" i="19" s="1"/>
  <c r="M291" i="19"/>
  <c r="K291" i="19"/>
  <c r="AL291" i="19" s="1"/>
  <c r="BJ288" i="19"/>
  <c r="Z288" i="19" s="1"/>
  <c r="BH288" i="19"/>
  <c r="BF288" i="19"/>
  <c r="BD288" i="19"/>
  <c r="AP288" i="19"/>
  <c r="AX288" i="19" s="1"/>
  <c r="AO288" i="19"/>
  <c r="AW288" i="19" s="1"/>
  <c r="AK288" i="19"/>
  <c r="AJ288" i="19"/>
  <c r="M288" i="19"/>
  <c r="K288" i="19"/>
  <c r="AL288" i="19" s="1"/>
  <c r="J288" i="19"/>
  <c r="BJ285" i="19"/>
  <c r="Z285" i="19" s="1"/>
  <c r="BD285" i="19"/>
  <c r="AP285" i="19"/>
  <c r="AX285" i="19" s="1"/>
  <c r="AO285" i="19"/>
  <c r="AW285" i="19" s="1"/>
  <c r="AK285" i="19"/>
  <c r="AJ285" i="19"/>
  <c r="M285" i="19"/>
  <c r="BF285" i="19" s="1"/>
  <c r="K285" i="19"/>
  <c r="AL285" i="19" s="1"/>
  <c r="J285" i="19"/>
  <c r="I285" i="19"/>
  <c r="BJ282" i="19"/>
  <c r="BD282" i="19"/>
  <c r="AP282" i="19"/>
  <c r="BI282" i="19" s="1"/>
  <c r="AO282" i="19"/>
  <c r="M282" i="19"/>
  <c r="BF282" i="19" s="1"/>
  <c r="K282" i="19"/>
  <c r="AJ282" i="19" s="1"/>
  <c r="BJ279" i="19"/>
  <c r="BD279" i="19"/>
  <c r="AP279" i="19"/>
  <c r="AO279" i="19"/>
  <c r="AJ279" i="19"/>
  <c r="AH279" i="19"/>
  <c r="Z279" i="19"/>
  <c r="M279" i="19"/>
  <c r="BF279" i="19" s="1"/>
  <c r="K279" i="19"/>
  <c r="AL279" i="19" s="1"/>
  <c r="BJ277" i="19"/>
  <c r="Z277" i="19" s="1"/>
  <c r="BD277" i="19"/>
  <c r="AP277" i="19"/>
  <c r="BI277" i="19" s="1"/>
  <c r="AO277" i="19"/>
  <c r="BH277" i="19" s="1"/>
  <c r="AJ277" i="19"/>
  <c r="AH277" i="19"/>
  <c r="M277" i="19"/>
  <c r="BF277" i="19" s="1"/>
  <c r="K277" i="19"/>
  <c r="AL277" i="19" s="1"/>
  <c r="I277" i="19"/>
  <c r="BJ274" i="19"/>
  <c r="Z274" i="19" s="1"/>
  <c r="BD274" i="19"/>
  <c r="AP274" i="19"/>
  <c r="BI274" i="19" s="1"/>
  <c r="AO274" i="19"/>
  <c r="AW274" i="19" s="1"/>
  <c r="AE274" i="19"/>
  <c r="M274" i="19"/>
  <c r="BF274" i="19" s="1"/>
  <c r="K274" i="19"/>
  <c r="AL274" i="19" s="1"/>
  <c r="J274" i="19"/>
  <c r="BJ272" i="19"/>
  <c r="BD272" i="19"/>
  <c r="AP272" i="19"/>
  <c r="AX272" i="19" s="1"/>
  <c r="AO272" i="19"/>
  <c r="AW272" i="19" s="1"/>
  <c r="AK272" i="19"/>
  <c r="AJ272" i="19"/>
  <c r="AF272" i="19"/>
  <c r="M272" i="19"/>
  <c r="BF272" i="19" s="1"/>
  <c r="K272" i="19"/>
  <c r="AL272" i="19" s="1"/>
  <c r="BJ269" i="19"/>
  <c r="Z269" i="19" s="1"/>
  <c r="BI269" i="19"/>
  <c r="BD269" i="19"/>
  <c r="AP269" i="19"/>
  <c r="J269" i="19" s="1"/>
  <c r="AO269" i="19"/>
  <c r="AW269" i="19" s="1"/>
  <c r="AK269" i="19"/>
  <c r="AJ269" i="19"/>
  <c r="AH269" i="19"/>
  <c r="M269" i="19"/>
  <c r="BF269" i="19" s="1"/>
  <c r="K269" i="19"/>
  <c r="AL269" i="19" s="1"/>
  <c r="BJ267" i="19"/>
  <c r="BD267" i="19"/>
  <c r="AP267" i="19"/>
  <c r="BI267" i="19" s="1"/>
  <c r="AO267" i="19"/>
  <c r="M267" i="19"/>
  <c r="BF267" i="19" s="1"/>
  <c r="K267" i="19"/>
  <c r="AJ267" i="19" s="1"/>
  <c r="J267" i="19"/>
  <c r="BJ261" i="19"/>
  <c r="AH261" i="19" s="1"/>
  <c r="BD261" i="19"/>
  <c r="AP261" i="19"/>
  <c r="AO261" i="19"/>
  <c r="AJ261" i="19"/>
  <c r="M261" i="19"/>
  <c r="K261" i="19"/>
  <c r="AL261" i="19" s="1"/>
  <c r="K260" i="19"/>
  <c r="BJ258" i="19"/>
  <c r="BD258" i="19"/>
  <c r="AW258" i="19"/>
  <c r="AP258" i="19"/>
  <c r="AX258" i="19" s="1"/>
  <c r="AO258" i="19"/>
  <c r="BH258" i="19" s="1"/>
  <c r="M258" i="19"/>
  <c r="BF258" i="19" s="1"/>
  <c r="K258" i="19"/>
  <c r="I258" i="19"/>
  <c r="BJ256" i="19"/>
  <c r="BD256" i="19"/>
  <c r="AP256" i="19"/>
  <c r="AO256" i="19"/>
  <c r="AH256" i="19"/>
  <c r="Z256" i="19"/>
  <c r="M256" i="19"/>
  <c r="BF256" i="19" s="1"/>
  <c r="K256" i="19"/>
  <c r="AL256" i="19" s="1"/>
  <c r="BJ254" i="19"/>
  <c r="Z254" i="19" s="1"/>
  <c r="BD254" i="19"/>
  <c r="AP254" i="19"/>
  <c r="AO254" i="19"/>
  <c r="BH254" i="19" s="1"/>
  <c r="AK254" i="19"/>
  <c r="M254" i="19"/>
  <c r="BF254" i="19" s="1"/>
  <c r="K254" i="19"/>
  <c r="AL254" i="19" s="1"/>
  <c r="BJ252" i="19"/>
  <c r="Z252" i="19" s="1"/>
  <c r="BD252" i="19"/>
  <c r="AP252" i="19"/>
  <c r="BI252" i="19" s="1"/>
  <c r="AO252" i="19"/>
  <c r="BH252" i="19" s="1"/>
  <c r="AJ252" i="19"/>
  <c r="M252" i="19"/>
  <c r="BF252" i="19" s="1"/>
  <c r="K252" i="19"/>
  <c r="AL252" i="19" s="1"/>
  <c r="BJ250" i="19"/>
  <c r="AH250" i="19" s="1"/>
  <c r="BD250" i="19"/>
  <c r="AP250" i="19"/>
  <c r="AX250" i="19" s="1"/>
  <c r="BC250" i="19" s="1"/>
  <c r="AO250" i="19"/>
  <c r="AW250" i="19" s="1"/>
  <c r="M250" i="19"/>
  <c r="BF250" i="19" s="1"/>
  <c r="K250" i="19"/>
  <c r="AK250" i="19" s="1"/>
  <c r="I250" i="19"/>
  <c r="BJ248" i="19"/>
  <c r="AH248" i="19" s="1"/>
  <c r="BD248" i="19"/>
  <c r="AP248" i="19"/>
  <c r="AO248" i="19"/>
  <c r="AW248" i="19" s="1"/>
  <c r="M248" i="19"/>
  <c r="BF248" i="19" s="1"/>
  <c r="K248" i="19"/>
  <c r="AK248" i="19" s="1"/>
  <c r="BJ246" i="19"/>
  <c r="AH246" i="19" s="1"/>
  <c r="BD246" i="19"/>
  <c r="AP246" i="19"/>
  <c r="AX246" i="19" s="1"/>
  <c r="AO246" i="19"/>
  <c r="BH246" i="19" s="1"/>
  <c r="M246" i="19"/>
  <c r="BF246" i="19" s="1"/>
  <c r="K246" i="19"/>
  <c r="AL246" i="19" s="1"/>
  <c r="BJ240" i="19"/>
  <c r="AH240" i="19" s="1"/>
  <c r="BD240" i="19"/>
  <c r="AP240" i="19"/>
  <c r="AO240" i="19"/>
  <c r="M240" i="19"/>
  <c r="BF240" i="19" s="1"/>
  <c r="K240" i="19"/>
  <c r="BJ238" i="19"/>
  <c r="AH238" i="19" s="1"/>
  <c r="BF238" i="19"/>
  <c r="BD238" i="19"/>
  <c r="AW238" i="19"/>
  <c r="AP238" i="19"/>
  <c r="AO238" i="19"/>
  <c r="BH238" i="19" s="1"/>
  <c r="AF238" i="19" s="1"/>
  <c r="AK238" i="19"/>
  <c r="AD238" i="19"/>
  <c r="M238" i="19"/>
  <c r="K238" i="19"/>
  <c r="AL238" i="19" s="1"/>
  <c r="J238" i="19"/>
  <c r="I238" i="19"/>
  <c r="BJ234" i="19"/>
  <c r="Z234" i="19" s="1"/>
  <c r="BD234" i="19"/>
  <c r="AP234" i="19"/>
  <c r="AX234" i="19" s="1"/>
  <c r="AO234" i="19"/>
  <c r="I234" i="19" s="1"/>
  <c r="M234" i="19"/>
  <c r="BF234" i="19" s="1"/>
  <c r="K234" i="19"/>
  <c r="AL234" i="19" s="1"/>
  <c r="BJ230" i="19"/>
  <c r="AH230" i="19" s="1"/>
  <c r="BD230" i="19"/>
  <c r="AP230" i="19"/>
  <c r="AX230" i="19" s="1"/>
  <c r="AO230" i="19"/>
  <c r="AW230" i="19" s="1"/>
  <c r="BC230" i="19" s="1"/>
  <c r="Z230" i="19"/>
  <c r="M230" i="19"/>
  <c r="BF230" i="19" s="1"/>
  <c r="K230" i="19"/>
  <c r="AK230" i="19" s="1"/>
  <c r="BJ226" i="19"/>
  <c r="Z226" i="19" s="1"/>
  <c r="BI226" i="19"/>
  <c r="BH226" i="19"/>
  <c r="BD226" i="19"/>
  <c r="AP226" i="19"/>
  <c r="AX226" i="19" s="1"/>
  <c r="AO226" i="19"/>
  <c r="AW226" i="19" s="1"/>
  <c r="AH226" i="19"/>
  <c r="M226" i="19"/>
  <c r="BF226" i="19" s="1"/>
  <c r="K226" i="19"/>
  <c r="AL226" i="19" s="1"/>
  <c r="J226" i="19"/>
  <c r="BJ222" i="19"/>
  <c r="BD222" i="19"/>
  <c r="AP222" i="19"/>
  <c r="BI222" i="19" s="1"/>
  <c r="AO222" i="19"/>
  <c r="I222" i="19" s="1"/>
  <c r="M222" i="19"/>
  <c r="BF222" i="19" s="1"/>
  <c r="K222" i="19"/>
  <c r="J222" i="19"/>
  <c r="BJ218" i="19"/>
  <c r="Z218" i="19" s="1"/>
  <c r="BD218" i="19"/>
  <c r="AP218" i="19"/>
  <c r="AO218" i="19"/>
  <c r="AK218" i="19"/>
  <c r="AJ218" i="19"/>
  <c r="AH218" i="19"/>
  <c r="M218" i="19"/>
  <c r="K218" i="19"/>
  <c r="AL218" i="19" s="1"/>
  <c r="BJ211" i="19"/>
  <c r="Z211" i="19" s="1"/>
  <c r="BD211" i="19"/>
  <c r="AW211" i="19"/>
  <c r="AP211" i="19"/>
  <c r="BI211" i="19" s="1"/>
  <c r="AG211" i="19" s="1"/>
  <c r="AO211" i="19"/>
  <c r="I211" i="19" s="1"/>
  <c r="AE211" i="19"/>
  <c r="M211" i="19"/>
  <c r="BF211" i="19" s="1"/>
  <c r="K211" i="19"/>
  <c r="AL211" i="19" s="1"/>
  <c r="J211" i="19"/>
  <c r="BJ208" i="19"/>
  <c r="BD208" i="19"/>
  <c r="AP208" i="19"/>
  <c r="J208" i="19" s="1"/>
  <c r="AO208" i="19"/>
  <c r="AH208" i="19"/>
  <c r="Z208" i="19"/>
  <c r="M208" i="19"/>
  <c r="BF208" i="19" s="1"/>
  <c r="K208" i="19"/>
  <c r="BJ206" i="19"/>
  <c r="BH206" i="19"/>
  <c r="AF206" i="19" s="1"/>
  <c r="BD206" i="19"/>
  <c r="AW206" i="19"/>
  <c r="AP206" i="19"/>
  <c r="AO206" i="19"/>
  <c r="AH206" i="19"/>
  <c r="Z206" i="19"/>
  <c r="M206" i="19"/>
  <c r="BF206" i="19" s="1"/>
  <c r="K206" i="19"/>
  <c r="AL206" i="19" s="1"/>
  <c r="I206" i="19"/>
  <c r="BJ203" i="19"/>
  <c r="Z203" i="19" s="1"/>
  <c r="BD203" i="19"/>
  <c r="AW203" i="19"/>
  <c r="AP203" i="19"/>
  <c r="BI203" i="19" s="1"/>
  <c r="AC203" i="19" s="1"/>
  <c r="AO203" i="19"/>
  <c r="I203" i="19" s="1"/>
  <c r="AF203" i="19"/>
  <c r="M203" i="19"/>
  <c r="BF203" i="19" s="1"/>
  <c r="K203" i="19"/>
  <c r="BJ200" i="19"/>
  <c r="Z200" i="19" s="1"/>
  <c r="BD200" i="19"/>
  <c r="AP200" i="19"/>
  <c r="AX200" i="19" s="1"/>
  <c r="AO200" i="19"/>
  <c r="AW200" i="19" s="1"/>
  <c r="M200" i="19"/>
  <c r="M199" i="19" s="1"/>
  <c r="K200" i="19"/>
  <c r="AL200" i="19" s="1"/>
  <c r="BJ197" i="19"/>
  <c r="Z197" i="19" s="1"/>
  <c r="BD197" i="19"/>
  <c r="AW197" i="19"/>
  <c r="AP197" i="19"/>
  <c r="BI197" i="19" s="1"/>
  <c r="AO197" i="19"/>
  <c r="BH197" i="19" s="1"/>
  <c r="AJ197" i="19"/>
  <c r="AS196" i="19" s="1"/>
  <c r="AB197" i="19"/>
  <c r="M197" i="19"/>
  <c r="BF197" i="19" s="1"/>
  <c r="K197" i="19"/>
  <c r="AL197" i="19" s="1"/>
  <c r="AU196" i="19" s="1"/>
  <c r="I197" i="19"/>
  <c r="M196" i="19"/>
  <c r="I196" i="19"/>
  <c r="BJ194" i="19"/>
  <c r="AH194" i="19" s="1"/>
  <c r="BD194" i="19"/>
  <c r="AP194" i="19"/>
  <c r="J194" i="19" s="1"/>
  <c r="AO194" i="19"/>
  <c r="M194" i="19"/>
  <c r="BF194" i="19" s="1"/>
  <c r="K194" i="19"/>
  <c r="BJ192" i="19"/>
  <c r="AH192" i="19" s="1"/>
  <c r="BD192" i="19"/>
  <c r="AP192" i="19"/>
  <c r="AO192" i="19"/>
  <c r="BH192" i="19" s="1"/>
  <c r="M192" i="19"/>
  <c r="BF192" i="19" s="1"/>
  <c r="K192" i="19"/>
  <c r="AL192" i="19" s="1"/>
  <c r="BJ190" i="19"/>
  <c r="Z190" i="19" s="1"/>
  <c r="BF190" i="19"/>
  <c r="BD190" i="19"/>
  <c r="AW190" i="19"/>
  <c r="AP190" i="19"/>
  <c r="BI190" i="19" s="1"/>
  <c r="AC190" i="19" s="1"/>
  <c r="AO190" i="19"/>
  <c r="I190" i="19" s="1"/>
  <c r="M190" i="19"/>
  <c r="K190" i="19"/>
  <c r="BJ188" i="19"/>
  <c r="BH188" i="19"/>
  <c r="AD188" i="19" s="1"/>
  <c r="BF188" i="19"/>
  <c r="BD188" i="19"/>
  <c r="AP188" i="19"/>
  <c r="AX188" i="19" s="1"/>
  <c r="AO188" i="19"/>
  <c r="AW188" i="19" s="1"/>
  <c r="AH188" i="19"/>
  <c r="AF188" i="19"/>
  <c r="Z188" i="19"/>
  <c r="M188" i="19"/>
  <c r="M187" i="19" s="1"/>
  <c r="K188" i="19"/>
  <c r="AL188" i="19" s="1"/>
  <c r="I188" i="19"/>
  <c r="BJ185" i="19"/>
  <c r="Z185" i="19" s="1"/>
  <c r="BI185" i="19"/>
  <c r="AG185" i="19" s="1"/>
  <c r="BD185" i="19"/>
  <c r="AW185" i="19"/>
  <c r="AP185" i="19"/>
  <c r="AX185" i="19" s="1"/>
  <c r="AV185" i="19" s="1"/>
  <c r="AO185" i="19"/>
  <c r="BH185" i="19" s="1"/>
  <c r="AB185" i="19" s="1"/>
  <c r="AK185" i="19"/>
  <c r="AJ185" i="19"/>
  <c r="M185" i="19"/>
  <c r="BF185" i="19" s="1"/>
  <c r="K185" i="19"/>
  <c r="AL185" i="19" s="1"/>
  <c r="J185" i="19"/>
  <c r="BJ183" i="19"/>
  <c r="BF183" i="19"/>
  <c r="BD183" i="19"/>
  <c r="AP183" i="19"/>
  <c r="J183" i="19" s="1"/>
  <c r="AO183" i="19"/>
  <c r="AW183" i="19" s="1"/>
  <c r="AH183" i="19"/>
  <c r="Z183" i="19"/>
  <c r="M183" i="19"/>
  <c r="K183" i="19"/>
  <c r="AL183" i="19" s="1"/>
  <c r="BJ181" i="19"/>
  <c r="Z181" i="19" s="1"/>
  <c r="BD181" i="19"/>
  <c r="AW181" i="19"/>
  <c r="AP181" i="19"/>
  <c r="AX181" i="19" s="1"/>
  <c r="AV181" i="19" s="1"/>
  <c r="AO181" i="19"/>
  <c r="BH181" i="19" s="1"/>
  <c r="AK181" i="19"/>
  <c r="AJ181" i="19"/>
  <c r="M181" i="19"/>
  <c r="BF181" i="19" s="1"/>
  <c r="K181" i="19"/>
  <c r="AL181" i="19" s="1"/>
  <c r="I181" i="19"/>
  <c r="BJ179" i="19"/>
  <c r="Z179" i="19" s="1"/>
  <c r="BI179" i="19"/>
  <c r="BD179" i="19"/>
  <c r="AX179" i="19"/>
  <c r="AP179" i="19"/>
  <c r="AO179" i="19"/>
  <c r="AW179" i="19" s="1"/>
  <c r="AJ179" i="19"/>
  <c r="M179" i="19"/>
  <c r="BF179" i="19" s="1"/>
  <c r="K179" i="19"/>
  <c r="K178" i="19" s="1"/>
  <c r="J179" i="19"/>
  <c r="BJ176" i="19"/>
  <c r="AH176" i="19" s="1"/>
  <c r="BD176" i="19"/>
  <c r="AP176" i="19"/>
  <c r="AX176" i="19" s="1"/>
  <c r="AO176" i="19"/>
  <c r="AW176" i="19" s="1"/>
  <c r="Z176" i="19"/>
  <c r="M176" i="19"/>
  <c r="BF176" i="19" s="1"/>
  <c r="K176" i="19"/>
  <c r="AL176" i="19" s="1"/>
  <c r="BJ167" i="19"/>
  <c r="Z167" i="19" s="1"/>
  <c r="BF167" i="19"/>
  <c r="BD167" i="19"/>
  <c r="AP167" i="19"/>
  <c r="J167" i="19" s="1"/>
  <c r="AO167" i="19"/>
  <c r="I167" i="19" s="1"/>
  <c r="AH167" i="19"/>
  <c r="AG167" i="19"/>
  <c r="M167" i="19"/>
  <c r="K167" i="19"/>
  <c r="BJ162" i="19"/>
  <c r="Z162" i="19" s="1"/>
  <c r="BF162" i="19"/>
  <c r="BD162" i="19"/>
  <c r="AP162" i="19"/>
  <c r="J162" i="19" s="1"/>
  <c r="J161" i="19" s="1"/>
  <c r="AO162" i="19"/>
  <c r="AW162" i="19" s="1"/>
  <c r="M162" i="19"/>
  <c r="K162" i="19"/>
  <c r="AL162" i="19" s="1"/>
  <c r="AU161" i="19" s="1"/>
  <c r="M161" i="19"/>
  <c r="BJ159" i="19"/>
  <c r="BD159" i="19"/>
  <c r="AP159" i="19"/>
  <c r="AO159" i="19"/>
  <c r="BH159" i="19" s="1"/>
  <c r="AH159" i="19"/>
  <c r="Z159" i="19"/>
  <c r="M159" i="19"/>
  <c r="BF159" i="19" s="1"/>
  <c r="K159" i="19"/>
  <c r="AL159" i="19" s="1"/>
  <c r="BJ157" i="19"/>
  <c r="AH157" i="19" s="1"/>
  <c r="BF157" i="19"/>
  <c r="BD157" i="19"/>
  <c r="AP157" i="19"/>
  <c r="BI157" i="19" s="1"/>
  <c r="AO157" i="19"/>
  <c r="I157" i="19" s="1"/>
  <c r="AC157" i="19"/>
  <c r="M157" i="19"/>
  <c r="K157" i="19"/>
  <c r="J157" i="19"/>
  <c r="BJ155" i="19"/>
  <c r="AH155" i="19" s="1"/>
  <c r="BD155" i="19"/>
  <c r="AP155" i="19"/>
  <c r="AX155" i="19" s="1"/>
  <c r="AO155" i="19"/>
  <c r="AW155" i="19" s="1"/>
  <c r="AJ155" i="19"/>
  <c r="AG155" i="19"/>
  <c r="M155" i="19"/>
  <c r="BF155" i="19" s="1"/>
  <c r="K155" i="19"/>
  <c r="AL155" i="19" s="1"/>
  <c r="BJ152" i="19"/>
  <c r="Z152" i="19" s="1"/>
  <c r="BD152" i="19"/>
  <c r="AP152" i="19"/>
  <c r="BI152" i="19" s="1"/>
  <c r="AO152" i="19"/>
  <c r="BH152" i="19" s="1"/>
  <c r="AF152" i="19" s="1"/>
  <c r="AJ152" i="19"/>
  <c r="AD152" i="19"/>
  <c r="M152" i="19"/>
  <c r="BF152" i="19" s="1"/>
  <c r="K152" i="19"/>
  <c r="AL152" i="19" s="1"/>
  <c r="AU151" i="19" s="1"/>
  <c r="AS151" i="19"/>
  <c r="M151" i="19"/>
  <c r="BJ149" i="19"/>
  <c r="Z149" i="19" s="1"/>
  <c r="BD149" i="19"/>
  <c r="AP149" i="19"/>
  <c r="AO149" i="19"/>
  <c r="AH149" i="19"/>
  <c r="M149" i="19"/>
  <c r="K149" i="19"/>
  <c r="AL149" i="19" s="1"/>
  <c r="BJ147" i="19"/>
  <c r="BD147" i="19"/>
  <c r="AP147" i="19"/>
  <c r="AX147" i="19" s="1"/>
  <c r="AO147" i="19"/>
  <c r="BH147" i="19" s="1"/>
  <c r="AF147" i="19" s="1"/>
  <c r="AH147" i="19"/>
  <c r="AD147" i="19"/>
  <c r="Z147" i="19"/>
  <c r="M147" i="19"/>
  <c r="BF147" i="19" s="1"/>
  <c r="K147" i="19"/>
  <c r="AL147" i="19" s="1"/>
  <c r="BJ144" i="19"/>
  <c r="AH144" i="19" s="1"/>
  <c r="BD144" i="19"/>
  <c r="AP144" i="19"/>
  <c r="J144" i="19" s="1"/>
  <c r="AO144" i="19"/>
  <c r="Z144" i="19"/>
  <c r="M144" i="19"/>
  <c r="BF144" i="19" s="1"/>
  <c r="K144" i="19"/>
  <c r="AJ144" i="19" s="1"/>
  <c r="BJ142" i="19"/>
  <c r="BD142" i="19"/>
  <c r="AP142" i="19"/>
  <c r="AO142" i="19"/>
  <c r="AH142" i="19"/>
  <c r="Z142" i="19"/>
  <c r="M142" i="19"/>
  <c r="BF142" i="19" s="1"/>
  <c r="K142" i="19"/>
  <c r="AL142" i="19" s="1"/>
  <c r="BJ140" i="19"/>
  <c r="Z140" i="19" s="1"/>
  <c r="BD140" i="19"/>
  <c r="AP140" i="19"/>
  <c r="BI140" i="19" s="1"/>
  <c r="AO140" i="19"/>
  <c r="BH140" i="19" s="1"/>
  <c r="AD140" i="19" s="1"/>
  <c r="AK140" i="19"/>
  <c r="M140" i="19"/>
  <c r="BF140" i="19" s="1"/>
  <c r="K140" i="19"/>
  <c r="AL140" i="19" s="1"/>
  <c r="J140" i="19"/>
  <c r="BJ136" i="19"/>
  <c r="AH136" i="19" s="1"/>
  <c r="BD136" i="19"/>
  <c r="AP136" i="19"/>
  <c r="BI136" i="19" s="1"/>
  <c r="AC136" i="19" s="1"/>
  <c r="AO136" i="19"/>
  <c r="AW136" i="19" s="1"/>
  <c r="AE136" i="19"/>
  <c r="M136" i="19"/>
  <c r="BF136" i="19" s="1"/>
  <c r="K136" i="19"/>
  <c r="AL136" i="19" s="1"/>
  <c r="BJ118" i="19"/>
  <c r="Z118" i="19" s="1"/>
  <c r="BD118" i="19"/>
  <c r="AP118" i="19"/>
  <c r="AX118" i="19" s="1"/>
  <c r="AO118" i="19"/>
  <c r="BH118" i="19" s="1"/>
  <c r="AH118" i="19"/>
  <c r="M118" i="19"/>
  <c r="BF118" i="19" s="1"/>
  <c r="K118" i="19"/>
  <c r="AL118" i="19" s="1"/>
  <c r="BJ113" i="19"/>
  <c r="Z113" i="19" s="1"/>
  <c r="BD113" i="19"/>
  <c r="AP113" i="19"/>
  <c r="BI113" i="19" s="1"/>
  <c r="AO113" i="19"/>
  <c r="AW113" i="19" s="1"/>
  <c r="AJ113" i="19"/>
  <c r="M113" i="19"/>
  <c r="K113" i="19"/>
  <c r="BJ110" i="19"/>
  <c r="BH110" i="19"/>
  <c r="BF110" i="19"/>
  <c r="BD110" i="19"/>
  <c r="AP110" i="19"/>
  <c r="AX110" i="19" s="1"/>
  <c r="AO110" i="19"/>
  <c r="AW110" i="19" s="1"/>
  <c r="BC110" i="19" s="1"/>
  <c r="AH110" i="19"/>
  <c r="AF110" i="19"/>
  <c r="Z110" i="19"/>
  <c r="M110" i="19"/>
  <c r="K110" i="19"/>
  <c r="AL110" i="19" s="1"/>
  <c r="BJ108" i="19"/>
  <c r="Z108" i="19" s="1"/>
  <c r="BD108" i="19"/>
  <c r="AP108" i="19"/>
  <c r="BI108" i="19" s="1"/>
  <c r="AO108" i="19"/>
  <c r="BH108" i="19" s="1"/>
  <c r="M108" i="19"/>
  <c r="BF108" i="19" s="1"/>
  <c r="K108" i="19"/>
  <c r="AL108" i="19" s="1"/>
  <c r="BJ104" i="19"/>
  <c r="AH104" i="19" s="1"/>
  <c r="BI104" i="19"/>
  <c r="AE104" i="19" s="1"/>
  <c r="BD104" i="19"/>
  <c r="AP104" i="19"/>
  <c r="AX104" i="19" s="1"/>
  <c r="AO104" i="19"/>
  <c r="M104" i="19"/>
  <c r="BF104" i="19" s="1"/>
  <c r="K104" i="19"/>
  <c r="AL104" i="19" s="1"/>
  <c r="J104" i="19"/>
  <c r="BJ102" i="19"/>
  <c r="Z102" i="19" s="1"/>
  <c r="BD102" i="19"/>
  <c r="AP102" i="19"/>
  <c r="AO102" i="19"/>
  <c r="BH102" i="19" s="1"/>
  <c r="AD102" i="19" s="1"/>
  <c r="AB102" i="19"/>
  <c r="M102" i="19"/>
  <c r="BF102" i="19" s="1"/>
  <c r="K102" i="19"/>
  <c r="AK102" i="19" s="1"/>
  <c r="I102" i="19"/>
  <c r="BJ99" i="19"/>
  <c r="Z99" i="19" s="1"/>
  <c r="BD99" i="19"/>
  <c r="AP99" i="19"/>
  <c r="AX99" i="19" s="1"/>
  <c r="AO99" i="19"/>
  <c r="BH99" i="19" s="1"/>
  <c r="AL99" i="19"/>
  <c r="AK99" i="19"/>
  <c r="AH99" i="19"/>
  <c r="M99" i="19"/>
  <c r="BF99" i="19" s="1"/>
  <c r="K99" i="19"/>
  <c r="AJ99" i="19" s="1"/>
  <c r="BJ97" i="19"/>
  <c r="AH97" i="19" s="1"/>
  <c r="BF97" i="19"/>
  <c r="BD97" i="19"/>
  <c r="AP97" i="19"/>
  <c r="AX97" i="19" s="1"/>
  <c r="AO97" i="19"/>
  <c r="BH97" i="19" s="1"/>
  <c r="AD97" i="19" s="1"/>
  <c r="AK97" i="19"/>
  <c r="AJ97" i="19"/>
  <c r="AF97" i="19"/>
  <c r="M97" i="19"/>
  <c r="K97" i="19"/>
  <c r="AL97" i="19" s="1"/>
  <c r="BJ94" i="19"/>
  <c r="Z94" i="19" s="1"/>
  <c r="BF94" i="19"/>
  <c r="BD94" i="19"/>
  <c r="AP94" i="19"/>
  <c r="AX94" i="19" s="1"/>
  <c r="AO94" i="19"/>
  <c r="BH94" i="19" s="1"/>
  <c r="AF94" i="19" s="1"/>
  <c r="AJ94" i="19"/>
  <c r="M94" i="19"/>
  <c r="K94" i="19"/>
  <c r="AL94" i="19" s="1"/>
  <c r="BJ91" i="19"/>
  <c r="AH91" i="19" s="1"/>
  <c r="BD91" i="19"/>
  <c r="AP91" i="19"/>
  <c r="AX91" i="19" s="1"/>
  <c r="AO91" i="19"/>
  <c r="BH91" i="19" s="1"/>
  <c r="AK91" i="19"/>
  <c r="M91" i="19"/>
  <c r="BF91" i="19" s="1"/>
  <c r="K91" i="19"/>
  <c r="AL91" i="19" s="1"/>
  <c r="BJ89" i="19"/>
  <c r="AH89" i="19" s="1"/>
  <c r="BD89" i="19"/>
  <c r="AP89" i="19"/>
  <c r="J89" i="19" s="1"/>
  <c r="AO89" i="19"/>
  <c r="I89" i="19" s="1"/>
  <c r="M89" i="19"/>
  <c r="BF89" i="19" s="1"/>
  <c r="K89" i="19"/>
  <c r="AK89" i="19" s="1"/>
  <c r="BJ86" i="19"/>
  <c r="Z86" i="19" s="1"/>
  <c r="BD86" i="19"/>
  <c r="AP86" i="19"/>
  <c r="BI86" i="19" s="1"/>
  <c r="AG86" i="19" s="1"/>
  <c r="AO86" i="19"/>
  <c r="AW86" i="19" s="1"/>
  <c r="AK86" i="19"/>
  <c r="AH86" i="19"/>
  <c r="M86" i="19"/>
  <c r="BF86" i="19" s="1"/>
  <c r="K86" i="19"/>
  <c r="AL86" i="19" s="1"/>
  <c r="BJ77" i="19"/>
  <c r="AH77" i="19" s="1"/>
  <c r="BD77" i="19"/>
  <c r="AP77" i="19"/>
  <c r="BI77" i="19" s="1"/>
  <c r="AO77" i="19"/>
  <c r="I77" i="19" s="1"/>
  <c r="AK77" i="19"/>
  <c r="M77" i="19"/>
  <c r="BF77" i="19" s="1"/>
  <c r="K77" i="19"/>
  <c r="AJ77" i="19" s="1"/>
  <c r="BJ75" i="19"/>
  <c r="BD75" i="19"/>
  <c r="AP75" i="19"/>
  <c r="J75" i="19" s="1"/>
  <c r="AO75" i="19"/>
  <c r="I75" i="19" s="1"/>
  <c r="AJ75" i="19"/>
  <c r="AH75" i="19"/>
  <c r="Z75" i="19"/>
  <c r="M75" i="19"/>
  <c r="K75" i="19"/>
  <c r="AL75" i="19" s="1"/>
  <c r="BJ73" i="19"/>
  <c r="Z73" i="19" s="1"/>
  <c r="BF73" i="19"/>
  <c r="BD73" i="19"/>
  <c r="AP73" i="19"/>
  <c r="BI73" i="19" s="1"/>
  <c r="AG73" i="19" s="1"/>
  <c r="AO73" i="19"/>
  <c r="BH73" i="19" s="1"/>
  <c r="M73" i="19"/>
  <c r="K73" i="19"/>
  <c r="AL73" i="19" s="1"/>
  <c r="BJ71" i="19"/>
  <c r="Z71" i="19" s="1"/>
  <c r="BD71" i="19"/>
  <c r="AX71" i="19"/>
  <c r="AP71" i="19"/>
  <c r="J71" i="19" s="1"/>
  <c r="AO71" i="19"/>
  <c r="AW71" i="19" s="1"/>
  <c r="AJ71" i="19"/>
  <c r="AE71" i="19"/>
  <c r="M71" i="19"/>
  <c r="BF71" i="19" s="1"/>
  <c r="K71" i="19"/>
  <c r="AL71" i="19" s="1"/>
  <c r="BJ64" i="19"/>
  <c r="AH64" i="19" s="1"/>
  <c r="BH64" i="19"/>
  <c r="AF64" i="19" s="1"/>
  <c r="BD64" i="19"/>
  <c r="AP64" i="19"/>
  <c r="J64" i="19" s="1"/>
  <c r="AO64" i="19"/>
  <c r="AW64" i="19" s="1"/>
  <c r="AK64" i="19"/>
  <c r="AJ64" i="19"/>
  <c r="Z64" i="19"/>
  <c r="M64" i="19"/>
  <c r="BF64" i="19" s="1"/>
  <c r="K64" i="19"/>
  <c r="AL64" i="19" s="1"/>
  <c r="BJ62" i="19"/>
  <c r="Z62" i="19" s="1"/>
  <c r="BF62" i="19"/>
  <c r="BD62" i="19"/>
  <c r="AP62" i="19"/>
  <c r="BI62" i="19" s="1"/>
  <c r="AO62" i="19"/>
  <c r="I62" i="19" s="1"/>
  <c r="M62" i="19"/>
  <c r="K62" i="19"/>
  <c r="AL62" i="19" s="1"/>
  <c r="BJ53" i="19"/>
  <c r="AH53" i="19" s="1"/>
  <c r="BH53" i="19"/>
  <c r="AD53" i="19" s="1"/>
  <c r="BD53" i="19"/>
  <c r="AP53" i="19"/>
  <c r="AX53" i="19" s="1"/>
  <c r="AO53" i="19"/>
  <c r="AW53" i="19" s="1"/>
  <c r="AK53" i="19"/>
  <c r="AJ53" i="19"/>
  <c r="Z53" i="19"/>
  <c r="M53" i="19"/>
  <c r="BF53" i="19" s="1"/>
  <c r="K53" i="19"/>
  <c r="AL53" i="19" s="1"/>
  <c r="I53" i="19"/>
  <c r="BJ51" i="19"/>
  <c r="Z51" i="19" s="1"/>
  <c r="BD51" i="19"/>
  <c r="AP51" i="19"/>
  <c r="BI51" i="19" s="1"/>
  <c r="AO51" i="19"/>
  <c r="BH51" i="19" s="1"/>
  <c r="AF51" i="19" s="1"/>
  <c r="AJ51" i="19"/>
  <c r="AH51" i="19"/>
  <c r="M51" i="19"/>
  <c r="BF51" i="19" s="1"/>
  <c r="K51" i="19"/>
  <c r="AL51" i="19" s="1"/>
  <c r="BJ49" i="19"/>
  <c r="AH49" i="19" s="1"/>
  <c r="BI49" i="19"/>
  <c r="AG49" i="19" s="1"/>
  <c r="BD49" i="19"/>
  <c r="AP49" i="19"/>
  <c r="AX49" i="19" s="1"/>
  <c r="AO49" i="19"/>
  <c r="BH49" i="19" s="1"/>
  <c r="AK49" i="19"/>
  <c r="AJ49" i="19"/>
  <c r="M49" i="19"/>
  <c r="BF49" i="19" s="1"/>
  <c r="K49" i="19"/>
  <c r="M48" i="19"/>
  <c r="BJ46" i="19"/>
  <c r="Z46" i="19" s="1"/>
  <c r="BI46" i="19"/>
  <c r="AE46" i="19" s="1"/>
  <c r="BD46" i="19"/>
  <c r="AP46" i="19"/>
  <c r="AX46" i="19" s="1"/>
  <c r="AO46" i="19"/>
  <c r="BH46" i="19" s="1"/>
  <c r="AK46" i="19"/>
  <c r="AH46" i="19"/>
  <c r="M46" i="19"/>
  <c r="BF46" i="19" s="1"/>
  <c r="K46" i="19"/>
  <c r="AL46" i="19" s="1"/>
  <c r="BJ43" i="19"/>
  <c r="Z43" i="19" s="1"/>
  <c r="BD43" i="19"/>
  <c r="AP43" i="19"/>
  <c r="AX43" i="19" s="1"/>
  <c r="AO43" i="19"/>
  <c r="AW43" i="19" s="1"/>
  <c r="M43" i="19"/>
  <c r="BF43" i="19" s="1"/>
  <c r="K43" i="19"/>
  <c r="AL43" i="19" s="1"/>
  <c r="BJ36" i="19"/>
  <c r="AH36" i="19" s="1"/>
  <c r="BD36" i="19"/>
  <c r="AP36" i="19"/>
  <c r="BI36" i="19" s="1"/>
  <c r="AO36" i="19"/>
  <c r="I36" i="19" s="1"/>
  <c r="M36" i="19"/>
  <c r="BF36" i="19" s="1"/>
  <c r="K36" i="19"/>
  <c r="AJ36" i="19" s="1"/>
  <c r="J36" i="19"/>
  <c r="BJ26" i="19"/>
  <c r="AH26" i="19" s="1"/>
  <c r="BD26" i="19"/>
  <c r="AP26" i="19"/>
  <c r="J26" i="19" s="1"/>
  <c r="AO26" i="19"/>
  <c r="I26" i="19" s="1"/>
  <c r="AJ26" i="19"/>
  <c r="M26" i="19"/>
  <c r="K26" i="19"/>
  <c r="AL26" i="19" s="1"/>
  <c r="BJ22" i="19"/>
  <c r="Z22" i="19" s="1"/>
  <c r="BD22" i="19"/>
  <c r="AW22" i="19"/>
  <c r="AP22" i="19"/>
  <c r="BI22" i="19" s="1"/>
  <c r="AO22" i="19"/>
  <c r="BH22" i="19" s="1"/>
  <c r="AJ22" i="19"/>
  <c r="M22" i="19"/>
  <c r="BF22" i="19" s="1"/>
  <c r="K22" i="19"/>
  <c r="AL22" i="19" s="1"/>
  <c r="I22" i="19"/>
  <c r="BJ18" i="19"/>
  <c r="BI18" i="19"/>
  <c r="AC18" i="19" s="1"/>
  <c r="BD18" i="19"/>
  <c r="AP18" i="19"/>
  <c r="J18" i="19" s="1"/>
  <c r="AO18" i="19"/>
  <c r="AW18" i="19" s="1"/>
  <c r="AJ18" i="19"/>
  <c r="AH18" i="19"/>
  <c r="Z18" i="19"/>
  <c r="M18" i="19"/>
  <c r="BF18" i="19" s="1"/>
  <c r="K18" i="19"/>
  <c r="AL18" i="19" s="1"/>
  <c r="BJ15" i="19"/>
  <c r="BD15" i="19"/>
  <c r="AP15" i="19"/>
  <c r="J15" i="19" s="1"/>
  <c r="AO15" i="19"/>
  <c r="BH15" i="19" s="1"/>
  <c r="AH15" i="19"/>
  <c r="Z15" i="19"/>
  <c r="M15" i="19"/>
  <c r="BF15" i="19" s="1"/>
  <c r="K15" i="19"/>
  <c r="AL15" i="19" s="1"/>
  <c r="BJ13" i="19"/>
  <c r="Z13" i="19" s="1"/>
  <c r="BD13" i="19"/>
  <c r="AX13" i="19"/>
  <c r="AP13" i="19"/>
  <c r="BI13" i="19" s="1"/>
  <c r="AO13" i="19"/>
  <c r="I13" i="19" s="1"/>
  <c r="M13" i="19"/>
  <c r="BF13" i="19" s="1"/>
  <c r="K13" i="19"/>
  <c r="AL13" i="19" s="1"/>
  <c r="AU1" i="19"/>
  <c r="AT1" i="19"/>
  <c r="AS1" i="19"/>
  <c r="BJ291" i="18"/>
  <c r="BD291" i="18"/>
  <c r="AP291" i="18"/>
  <c r="AO291" i="18"/>
  <c r="AK291" i="18"/>
  <c r="AJ291" i="18"/>
  <c r="AH291" i="18"/>
  <c r="AG291" i="18"/>
  <c r="AF291" i="18"/>
  <c r="AE291" i="18"/>
  <c r="AD291" i="18"/>
  <c r="Z291" i="18"/>
  <c r="M291" i="18"/>
  <c r="BF291" i="18" s="1"/>
  <c r="K291" i="18"/>
  <c r="AL291" i="18" s="1"/>
  <c r="BJ290" i="18"/>
  <c r="BF290" i="18"/>
  <c r="BD290" i="18"/>
  <c r="AP290" i="18"/>
  <c r="J290" i="18" s="1"/>
  <c r="AO290" i="18"/>
  <c r="I290" i="18" s="1"/>
  <c r="AK290" i="18"/>
  <c r="AJ290" i="18"/>
  <c r="AH290" i="18"/>
  <c r="AG290" i="18"/>
  <c r="AF290" i="18"/>
  <c r="AE290" i="18"/>
  <c r="AD290" i="18"/>
  <c r="Z290" i="18"/>
  <c r="M290" i="18"/>
  <c r="K290" i="18"/>
  <c r="AL290" i="18" s="1"/>
  <c r="BJ289" i="18"/>
  <c r="BF289" i="18"/>
  <c r="BD289" i="18"/>
  <c r="AP289" i="18"/>
  <c r="BI289" i="18" s="1"/>
  <c r="AC289" i="18" s="1"/>
  <c r="AO289" i="18"/>
  <c r="AW289" i="18" s="1"/>
  <c r="AK289" i="18"/>
  <c r="AJ289" i="18"/>
  <c r="AH289" i="18"/>
  <c r="AG289" i="18"/>
  <c r="AF289" i="18"/>
  <c r="AE289" i="18"/>
  <c r="AD289" i="18"/>
  <c r="Z289" i="18"/>
  <c r="M289" i="18"/>
  <c r="K289" i="18"/>
  <c r="AL289" i="18" s="1"/>
  <c r="J289" i="18"/>
  <c r="I289" i="18"/>
  <c r="BJ288" i="18"/>
  <c r="BI288" i="18"/>
  <c r="AC288" i="18" s="1"/>
  <c r="BD288" i="18"/>
  <c r="AW288" i="18"/>
  <c r="AP288" i="18"/>
  <c r="AX288" i="18" s="1"/>
  <c r="AO288" i="18"/>
  <c r="BH288" i="18" s="1"/>
  <c r="AB288" i="18" s="1"/>
  <c r="AK288" i="18"/>
  <c r="AJ288" i="18"/>
  <c r="AH288" i="18"/>
  <c r="AG288" i="18"/>
  <c r="AF288" i="18"/>
  <c r="AE288" i="18"/>
  <c r="AD288" i="18"/>
  <c r="Z288" i="18"/>
  <c r="M288" i="18"/>
  <c r="M287" i="18" s="1"/>
  <c r="K288" i="18"/>
  <c r="J288" i="18"/>
  <c r="I288" i="18"/>
  <c r="BJ285" i="18"/>
  <c r="Z285" i="18" s="1"/>
  <c r="BI285" i="18"/>
  <c r="BD285" i="18"/>
  <c r="AW285" i="18"/>
  <c r="AP285" i="18"/>
  <c r="AX285" i="18" s="1"/>
  <c r="AO285" i="18"/>
  <c r="I285" i="18" s="1"/>
  <c r="AK285" i="18"/>
  <c r="AJ285" i="18"/>
  <c r="AH285" i="18"/>
  <c r="AG285" i="18"/>
  <c r="AF285" i="18"/>
  <c r="AE285" i="18"/>
  <c r="AD285" i="18"/>
  <c r="AC285" i="18"/>
  <c r="AB285" i="18"/>
  <c r="M285" i="18"/>
  <c r="BF285" i="18" s="1"/>
  <c r="K285" i="18"/>
  <c r="AL285" i="18" s="1"/>
  <c r="BJ283" i="18"/>
  <c r="Z283" i="18" s="1"/>
  <c r="BI283" i="18"/>
  <c r="BH283" i="18"/>
  <c r="BD283" i="18"/>
  <c r="AW283" i="18"/>
  <c r="AP283" i="18"/>
  <c r="AX283" i="18" s="1"/>
  <c r="AO283" i="18"/>
  <c r="AK283" i="18"/>
  <c r="AJ283" i="18"/>
  <c r="AH283" i="18"/>
  <c r="AG283" i="18"/>
  <c r="AF283" i="18"/>
  <c r="AE283" i="18"/>
  <c r="AD283" i="18"/>
  <c r="AC283" i="18"/>
  <c r="AB283" i="18"/>
  <c r="M283" i="18"/>
  <c r="BF283" i="18" s="1"/>
  <c r="K283" i="18"/>
  <c r="AL283" i="18" s="1"/>
  <c r="I283" i="18"/>
  <c r="BJ281" i="18"/>
  <c r="Z281" i="18" s="1"/>
  <c r="BF281" i="18"/>
  <c r="BD281" i="18"/>
  <c r="AP281" i="18"/>
  <c r="BI281" i="18" s="1"/>
  <c r="AO281" i="18"/>
  <c r="AW281" i="18" s="1"/>
  <c r="AK281" i="18"/>
  <c r="AJ281" i="18"/>
  <c r="AH281" i="18"/>
  <c r="AG281" i="18"/>
  <c r="AF281" i="18"/>
  <c r="AE281" i="18"/>
  <c r="AD281" i="18"/>
  <c r="AC281" i="18"/>
  <c r="AB281" i="18"/>
  <c r="M281" i="18"/>
  <c r="K281" i="18"/>
  <c r="AL281" i="18" s="1"/>
  <c r="BJ279" i="18"/>
  <c r="Z279" i="18" s="1"/>
  <c r="BD279" i="18"/>
  <c r="AP279" i="18"/>
  <c r="AX279" i="18" s="1"/>
  <c r="AO279" i="18"/>
  <c r="BH279" i="18" s="1"/>
  <c r="AK279" i="18"/>
  <c r="AJ279" i="18"/>
  <c r="AH279" i="18"/>
  <c r="AG279" i="18"/>
  <c r="AF279" i="18"/>
  <c r="AE279" i="18"/>
  <c r="AD279" i="18"/>
  <c r="AC279" i="18"/>
  <c r="AB279" i="18"/>
  <c r="M279" i="18"/>
  <c r="BF279" i="18" s="1"/>
  <c r="K279" i="18"/>
  <c r="BJ276" i="18"/>
  <c r="BI276" i="18"/>
  <c r="AG276" i="18" s="1"/>
  <c r="BH276" i="18"/>
  <c r="AF276" i="18" s="1"/>
  <c r="BD276" i="18"/>
  <c r="AW276" i="18"/>
  <c r="AP276" i="18"/>
  <c r="AX276" i="18" s="1"/>
  <c r="AO276" i="18"/>
  <c r="AK276" i="18"/>
  <c r="AT275" i="18" s="1"/>
  <c r="AJ276" i="18"/>
  <c r="AS275" i="18" s="1"/>
  <c r="AH276" i="18"/>
  <c r="AE276" i="18"/>
  <c r="AD276" i="18"/>
  <c r="AC276" i="18"/>
  <c r="AB276" i="18"/>
  <c r="Z276" i="18"/>
  <c r="M276" i="18"/>
  <c r="M275" i="18" s="1"/>
  <c r="K276" i="18"/>
  <c r="K275" i="18" s="1"/>
  <c r="I276" i="18"/>
  <c r="I275" i="18" s="1"/>
  <c r="BJ274" i="18"/>
  <c r="BF274" i="18"/>
  <c r="BD274" i="18"/>
  <c r="AP274" i="18"/>
  <c r="BI274" i="18" s="1"/>
  <c r="AC274" i="18" s="1"/>
  <c r="AO274" i="18"/>
  <c r="I274" i="18" s="1"/>
  <c r="AK274" i="18"/>
  <c r="AJ274" i="18"/>
  <c r="AH274" i="18"/>
  <c r="AG274" i="18"/>
  <c r="AF274" i="18"/>
  <c r="AE274" i="18"/>
  <c r="AD274" i="18"/>
  <c r="Z274" i="18"/>
  <c r="M274" i="18"/>
  <c r="K274" i="18"/>
  <c r="AL274" i="18" s="1"/>
  <c r="BJ273" i="18"/>
  <c r="BD273" i="18"/>
  <c r="AP273" i="18"/>
  <c r="AX273" i="18" s="1"/>
  <c r="AO273" i="18"/>
  <c r="AW273" i="18" s="1"/>
  <c r="AK273" i="18"/>
  <c r="AJ273" i="18"/>
  <c r="AH273" i="18"/>
  <c r="AG273" i="18"/>
  <c r="AF273" i="18"/>
  <c r="AE273" i="18"/>
  <c r="AD273" i="18"/>
  <c r="Z273" i="18"/>
  <c r="M273" i="18"/>
  <c r="BF273" i="18" s="1"/>
  <c r="K273" i="18"/>
  <c r="AL273" i="18" s="1"/>
  <c r="BJ270" i="18"/>
  <c r="BI270" i="18"/>
  <c r="BH270" i="18"/>
  <c r="AF270" i="18" s="1"/>
  <c r="BF270" i="18"/>
  <c r="BD270" i="18"/>
  <c r="AP270" i="18"/>
  <c r="AX270" i="18" s="1"/>
  <c r="AO270" i="18"/>
  <c r="AW270" i="18" s="1"/>
  <c r="AK270" i="18"/>
  <c r="AJ270" i="18"/>
  <c r="AS269" i="18" s="1"/>
  <c r="AH270" i="18"/>
  <c r="AG270" i="18"/>
  <c r="AE270" i="18"/>
  <c r="AD270" i="18"/>
  <c r="AC270" i="18"/>
  <c r="AB270" i="18"/>
  <c r="Z270" i="18"/>
  <c r="M270" i="18"/>
  <c r="M269" i="18" s="1"/>
  <c r="K270" i="18"/>
  <c r="K269" i="18" s="1"/>
  <c r="J270" i="18"/>
  <c r="BJ267" i="18"/>
  <c r="BD267" i="18"/>
  <c r="AP267" i="18"/>
  <c r="J267" i="18" s="1"/>
  <c r="J266" i="18" s="1"/>
  <c r="AO267" i="18"/>
  <c r="BH267" i="18" s="1"/>
  <c r="AK267" i="18"/>
  <c r="AT266" i="18" s="1"/>
  <c r="AJ267" i="18"/>
  <c r="AS266" i="18" s="1"/>
  <c r="AH267" i="18"/>
  <c r="AG267" i="18"/>
  <c r="AF267" i="18"/>
  <c r="AE267" i="18"/>
  <c r="AD267" i="18"/>
  <c r="AC267" i="18"/>
  <c r="AB267" i="18"/>
  <c r="Z267" i="18"/>
  <c r="M267" i="18"/>
  <c r="BF267" i="18" s="1"/>
  <c r="K267" i="18"/>
  <c r="AL267" i="18" s="1"/>
  <c r="AU266" i="18" s="1"/>
  <c r="M266" i="18"/>
  <c r="BJ264" i="18"/>
  <c r="BD264" i="18"/>
  <c r="AW264" i="18"/>
  <c r="AP264" i="18"/>
  <c r="AO264" i="18"/>
  <c r="BH264" i="18" s="1"/>
  <c r="AK264" i="18"/>
  <c r="AT263" i="18" s="1"/>
  <c r="AJ264" i="18"/>
  <c r="AS263" i="18" s="1"/>
  <c r="AH264" i="18"/>
  <c r="AG264" i="18"/>
  <c r="AF264" i="18"/>
  <c r="AE264" i="18"/>
  <c r="AD264" i="18"/>
  <c r="AC264" i="18"/>
  <c r="AB264" i="18"/>
  <c r="Z264" i="18"/>
  <c r="M264" i="18"/>
  <c r="BF264" i="18" s="1"/>
  <c r="K264" i="18"/>
  <c r="AL264" i="18" s="1"/>
  <c r="AU263" i="18" s="1"/>
  <c r="BJ261" i="18"/>
  <c r="Z261" i="18" s="1"/>
  <c r="BD261" i="18"/>
  <c r="AP261" i="18"/>
  <c r="BI261" i="18" s="1"/>
  <c r="AO261" i="18"/>
  <c r="I261" i="18" s="1"/>
  <c r="I260" i="18" s="1"/>
  <c r="AK261" i="18"/>
  <c r="AT260" i="18" s="1"/>
  <c r="AJ261" i="18"/>
  <c r="AS260" i="18" s="1"/>
  <c r="AH261" i="18"/>
  <c r="AG261" i="18"/>
  <c r="AF261" i="18"/>
  <c r="AE261" i="18"/>
  <c r="AD261" i="18"/>
  <c r="AC261" i="18"/>
  <c r="AB261" i="18"/>
  <c r="M261" i="18"/>
  <c r="BF261" i="18" s="1"/>
  <c r="K261" i="18"/>
  <c r="K260" i="18" s="1"/>
  <c r="BJ254" i="18"/>
  <c r="BF254" i="18"/>
  <c r="BD254" i="18"/>
  <c r="AP254" i="18"/>
  <c r="BI254" i="18" s="1"/>
  <c r="AC254" i="18" s="1"/>
  <c r="AO254" i="18"/>
  <c r="AW254" i="18" s="1"/>
  <c r="AK254" i="18"/>
  <c r="AJ254" i="18"/>
  <c r="AS253" i="18" s="1"/>
  <c r="AH254" i="18"/>
  <c r="AG254" i="18"/>
  <c r="AF254" i="18"/>
  <c r="AE254" i="18"/>
  <c r="AD254" i="18"/>
  <c r="Z254" i="18"/>
  <c r="M254" i="18"/>
  <c r="M253" i="18" s="1"/>
  <c r="K254" i="18"/>
  <c r="K253" i="18" s="1"/>
  <c r="I254" i="18"/>
  <c r="I253" i="18" s="1"/>
  <c r="AT253" i="18"/>
  <c r="BJ250" i="18"/>
  <c r="BD250" i="18"/>
  <c r="AP250" i="18"/>
  <c r="J250" i="18" s="1"/>
  <c r="J249" i="18" s="1"/>
  <c r="AO250" i="18"/>
  <c r="AW250" i="18" s="1"/>
  <c r="AK250" i="18"/>
  <c r="AT249" i="18" s="1"/>
  <c r="AJ250" i="18"/>
  <c r="AS249" i="18" s="1"/>
  <c r="AH250" i="18"/>
  <c r="AG250" i="18"/>
  <c r="AF250" i="18"/>
  <c r="AE250" i="18"/>
  <c r="AD250" i="18"/>
  <c r="Z250" i="18"/>
  <c r="M250" i="18"/>
  <c r="M249" i="18" s="1"/>
  <c r="K250" i="18"/>
  <c r="AL250" i="18" s="1"/>
  <c r="AU249" i="18" s="1"/>
  <c r="BJ247" i="18"/>
  <c r="BF247" i="18"/>
  <c r="BD247" i="18"/>
  <c r="AW247" i="18"/>
  <c r="AP247" i="18"/>
  <c r="AO247" i="18"/>
  <c r="I247" i="18" s="1"/>
  <c r="I246" i="18" s="1"/>
  <c r="AK247" i="18"/>
  <c r="AT246" i="18" s="1"/>
  <c r="AJ247" i="18"/>
  <c r="AS246" i="18" s="1"/>
  <c r="AH247" i="18"/>
  <c r="AG247" i="18"/>
  <c r="AF247" i="18"/>
  <c r="AE247" i="18"/>
  <c r="AD247" i="18"/>
  <c r="Z247" i="18"/>
  <c r="M247" i="18"/>
  <c r="K247" i="18"/>
  <c r="AL247" i="18" s="1"/>
  <c r="AU246" i="18" s="1"/>
  <c r="M246" i="18"/>
  <c r="BJ244" i="18"/>
  <c r="BD244" i="18"/>
  <c r="AP244" i="18"/>
  <c r="BI244" i="18" s="1"/>
  <c r="AC244" i="18" s="1"/>
  <c r="AO244" i="18"/>
  <c r="I244" i="18" s="1"/>
  <c r="AL244" i="18"/>
  <c r="AK244" i="18"/>
  <c r="AJ244" i="18"/>
  <c r="AH244" i="18"/>
  <c r="AG244" i="18"/>
  <c r="AF244" i="18"/>
  <c r="AE244" i="18"/>
  <c r="AD244" i="18"/>
  <c r="Z244" i="18"/>
  <c r="M244" i="18"/>
  <c r="BF244" i="18" s="1"/>
  <c r="K244" i="18"/>
  <c r="J244" i="18"/>
  <c r="BJ242" i="18"/>
  <c r="BD242" i="18"/>
  <c r="AP242" i="18"/>
  <c r="AO242" i="18"/>
  <c r="AK242" i="18"/>
  <c r="AJ242" i="18"/>
  <c r="AH242" i="18"/>
  <c r="AG242" i="18"/>
  <c r="AF242" i="18"/>
  <c r="AE242" i="18"/>
  <c r="AD242" i="18"/>
  <c r="Z242" i="18"/>
  <c r="M242" i="18"/>
  <c r="K242" i="18"/>
  <c r="AL242" i="18" s="1"/>
  <c r="BJ240" i="18"/>
  <c r="BF240" i="18"/>
  <c r="BD240" i="18"/>
  <c r="AP240" i="18"/>
  <c r="J240" i="18" s="1"/>
  <c r="AO240" i="18"/>
  <c r="I240" i="18" s="1"/>
  <c r="AK240" i="18"/>
  <c r="AJ240" i="18"/>
  <c r="AH240" i="18"/>
  <c r="AG240" i="18"/>
  <c r="AF240" i="18"/>
  <c r="AE240" i="18"/>
  <c r="AD240" i="18"/>
  <c r="Z240" i="18"/>
  <c r="M240" i="18"/>
  <c r="K240" i="18"/>
  <c r="AL240" i="18" s="1"/>
  <c r="BJ237" i="18"/>
  <c r="BD237" i="18"/>
  <c r="AP237" i="18"/>
  <c r="J237" i="18" s="1"/>
  <c r="AO237" i="18"/>
  <c r="AL237" i="18"/>
  <c r="AK237" i="18"/>
  <c r="AT234" i="18" s="1"/>
  <c r="AJ237" i="18"/>
  <c r="AH237" i="18"/>
  <c r="AG237" i="18"/>
  <c r="AF237" i="18"/>
  <c r="AE237" i="18"/>
  <c r="AD237" i="18"/>
  <c r="Z237" i="18"/>
  <c r="M237" i="18"/>
  <c r="K237" i="18"/>
  <c r="BJ235" i="18"/>
  <c r="BH235" i="18"/>
  <c r="AB235" i="18" s="1"/>
  <c r="BD235" i="18"/>
  <c r="AW235" i="18"/>
  <c r="AP235" i="18"/>
  <c r="AO235" i="18"/>
  <c r="I235" i="18" s="1"/>
  <c r="AK235" i="18"/>
  <c r="AJ235" i="18"/>
  <c r="AH235" i="18"/>
  <c r="AG235" i="18"/>
  <c r="AF235" i="18"/>
  <c r="AE235" i="18"/>
  <c r="AD235" i="18"/>
  <c r="Z235" i="18"/>
  <c r="M235" i="18"/>
  <c r="BF235" i="18" s="1"/>
  <c r="K235" i="18"/>
  <c r="AL235" i="18" s="1"/>
  <c r="AS234" i="18"/>
  <c r="BJ232" i="18"/>
  <c r="BD232" i="18"/>
  <c r="AP232" i="18"/>
  <c r="BI232" i="18" s="1"/>
  <c r="AC232" i="18" s="1"/>
  <c r="AO232" i="18"/>
  <c r="I232" i="18" s="1"/>
  <c r="AK232" i="18"/>
  <c r="AJ232" i="18"/>
  <c r="AH232" i="18"/>
  <c r="AG232" i="18"/>
  <c r="AF232" i="18"/>
  <c r="AE232" i="18"/>
  <c r="AD232" i="18"/>
  <c r="Z232" i="18"/>
  <c r="M232" i="18"/>
  <c r="BF232" i="18" s="1"/>
  <c r="K232" i="18"/>
  <c r="AL232" i="18" s="1"/>
  <c r="BJ230" i="18"/>
  <c r="BD230" i="18"/>
  <c r="AP230" i="18"/>
  <c r="AO230" i="18"/>
  <c r="AK230" i="18"/>
  <c r="AJ230" i="18"/>
  <c r="AH230" i="18"/>
  <c r="AG230" i="18"/>
  <c r="AF230" i="18"/>
  <c r="AE230" i="18"/>
  <c r="AD230" i="18"/>
  <c r="Z230" i="18"/>
  <c r="M230" i="18"/>
  <c r="BF230" i="18" s="1"/>
  <c r="K230" i="18"/>
  <c r="AL230" i="18" s="1"/>
  <c r="BJ227" i="18"/>
  <c r="BD227" i="18"/>
  <c r="AX227" i="18"/>
  <c r="AW227" i="18"/>
  <c r="AP227" i="18"/>
  <c r="BI227" i="18" s="1"/>
  <c r="AC227" i="18" s="1"/>
  <c r="AO227" i="18"/>
  <c r="BH227" i="18" s="1"/>
  <c r="AB227" i="18" s="1"/>
  <c r="AK227" i="18"/>
  <c r="AJ227" i="18"/>
  <c r="AH227" i="18"/>
  <c r="AG227" i="18"/>
  <c r="AF227" i="18"/>
  <c r="AE227" i="18"/>
  <c r="AD227" i="18"/>
  <c r="Z227" i="18"/>
  <c r="M227" i="18"/>
  <c r="BF227" i="18" s="1"/>
  <c r="K227" i="18"/>
  <c r="AL227" i="18" s="1"/>
  <c r="J227" i="18"/>
  <c r="I227" i="18"/>
  <c r="BJ225" i="18"/>
  <c r="BF225" i="18"/>
  <c r="BD225" i="18"/>
  <c r="AP225" i="18"/>
  <c r="AX225" i="18" s="1"/>
  <c r="AO225" i="18"/>
  <c r="AW225" i="18" s="1"/>
  <c r="AK225" i="18"/>
  <c r="AJ225" i="18"/>
  <c r="AH225" i="18"/>
  <c r="AG225" i="18"/>
  <c r="AF225" i="18"/>
  <c r="AE225" i="18"/>
  <c r="AD225" i="18"/>
  <c r="Z225" i="18"/>
  <c r="M225" i="18"/>
  <c r="K225" i="18"/>
  <c r="AL225" i="18" s="1"/>
  <c r="J225" i="18"/>
  <c r="I225" i="18"/>
  <c r="BJ223" i="18"/>
  <c r="BD223" i="18"/>
  <c r="AP223" i="18"/>
  <c r="AX223" i="18" s="1"/>
  <c r="AO223" i="18"/>
  <c r="AW223" i="18" s="1"/>
  <c r="AK223" i="18"/>
  <c r="AJ223" i="18"/>
  <c r="AH223" i="18"/>
  <c r="AG223" i="18"/>
  <c r="AF223" i="18"/>
  <c r="AE223" i="18"/>
  <c r="AD223" i="18"/>
  <c r="Z223" i="18"/>
  <c r="M223" i="18"/>
  <c r="BF223" i="18" s="1"/>
  <c r="K223" i="18"/>
  <c r="AL223" i="18" s="1"/>
  <c r="J223" i="18"/>
  <c r="BJ221" i="18"/>
  <c r="BD221" i="18"/>
  <c r="AP221" i="18"/>
  <c r="AX221" i="18" s="1"/>
  <c r="AO221" i="18"/>
  <c r="AW221" i="18" s="1"/>
  <c r="AK221" i="18"/>
  <c r="AJ221" i="18"/>
  <c r="AH221" i="18"/>
  <c r="AG221" i="18"/>
  <c r="AF221" i="18"/>
  <c r="AE221" i="18"/>
  <c r="AD221" i="18"/>
  <c r="Z221" i="18"/>
  <c r="M221" i="18"/>
  <c r="BF221" i="18" s="1"/>
  <c r="K221" i="18"/>
  <c r="AL221" i="18" s="1"/>
  <c r="BJ219" i="18"/>
  <c r="BD219" i="18"/>
  <c r="AP219" i="18"/>
  <c r="BI219" i="18" s="1"/>
  <c r="AC219" i="18" s="1"/>
  <c r="AO219" i="18"/>
  <c r="I219" i="18" s="1"/>
  <c r="AK219" i="18"/>
  <c r="AJ219" i="18"/>
  <c r="AH219" i="18"/>
  <c r="AG219" i="18"/>
  <c r="AF219" i="18"/>
  <c r="AE219" i="18"/>
  <c r="AD219" i="18"/>
  <c r="Z219" i="18"/>
  <c r="M219" i="18"/>
  <c r="BF219" i="18" s="1"/>
  <c r="K219" i="18"/>
  <c r="BJ217" i="18"/>
  <c r="BD217" i="18"/>
  <c r="AP217" i="18"/>
  <c r="AO217" i="18"/>
  <c r="AK217" i="18"/>
  <c r="AJ217" i="18"/>
  <c r="AH217" i="18"/>
  <c r="AG217" i="18"/>
  <c r="AF217" i="18"/>
  <c r="AE217" i="18"/>
  <c r="AD217" i="18"/>
  <c r="Z217" i="18"/>
  <c r="M217" i="18"/>
  <c r="K217" i="18"/>
  <c r="AL217" i="18" s="1"/>
  <c r="BJ215" i="18"/>
  <c r="BD215" i="18"/>
  <c r="AP215" i="18"/>
  <c r="AX215" i="18" s="1"/>
  <c r="AO215" i="18"/>
  <c r="BH215" i="18" s="1"/>
  <c r="AB215" i="18" s="1"/>
  <c r="AK215" i="18"/>
  <c r="AJ215" i="18"/>
  <c r="AH215" i="18"/>
  <c r="AG215" i="18"/>
  <c r="AF215" i="18"/>
  <c r="AE215" i="18"/>
  <c r="AD215" i="18"/>
  <c r="Z215" i="18"/>
  <c r="M215" i="18"/>
  <c r="BF215" i="18" s="1"/>
  <c r="K215" i="18"/>
  <c r="AL215" i="18" s="1"/>
  <c r="J215" i="18"/>
  <c r="I215" i="18"/>
  <c r="BJ214" i="18"/>
  <c r="BD214" i="18"/>
  <c r="AP214" i="18"/>
  <c r="J214" i="18" s="1"/>
  <c r="AO214" i="18"/>
  <c r="AK214" i="18"/>
  <c r="AJ214" i="18"/>
  <c r="AH214" i="18"/>
  <c r="AG214" i="18"/>
  <c r="AF214" i="18"/>
  <c r="AE214" i="18"/>
  <c r="AD214" i="18"/>
  <c r="Z214" i="18"/>
  <c r="M214" i="18"/>
  <c r="BF214" i="18" s="1"/>
  <c r="K214" i="18"/>
  <c r="AL214" i="18" s="1"/>
  <c r="BJ211" i="18"/>
  <c r="BD211" i="18"/>
  <c r="AP211" i="18"/>
  <c r="AO211" i="18"/>
  <c r="BH211" i="18" s="1"/>
  <c r="AB211" i="18" s="1"/>
  <c r="AK211" i="18"/>
  <c r="AJ211" i="18"/>
  <c r="AH211" i="18"/>
  <c r="AG211" i="18"/>
  <c r="AF211" i="18"/>
  <c r="AE211" i="18"/>
  <c r="AD211" i="18"/>
  <c r="Z211" i="18"/>
  <c r="M211" i="18"/>
  <c r="BF211" i="18" s="1"/>
  <c r="K211" i="18"/>
  <c r="AL211" i="18" s="1"/>
  <c r="BJ210" i="18"/>
  <c r="BF210" i="18"/>
  <c r="BD210" i="18"/>
  <c r="AW210" i="18"/>
  <c r="AP210" i="18"/>
  <c r="BI210" i="18" s="1"/>
  <c r="AC210" i="18" s="1"/>
  <c r="AO210" i="18"/>
  <c r="BH210" i="18" s="1"/>
  <c r="AB210" i="18" s="1"/>
  <c r="AK210" i="18"/>
  <c r="AJ210" i="18"/>
  <c r="AH210" i="18"/>
  <c r="AG210" i="18"/>
  <c r="AF210" i="18"/>
  <c r="AE210" i="18"/>
  <c r="AD210" i="18"/>
  <c r="Z210" i="18"/>
  <c r="M210" i="18"/>
  <c r="K210" i="18"/>
  <c r="AL210" i="18" s="1"/>
  <c r="J210" i="18"/>
  <c r="I210" i="18"/>
  <c r="BJ209" i="18"/>
  <c r="BD209" i="18"/>
  <c r="AP209" i="18"/>
  <c r="AX209" i="18" s="1"/>
  <c r="AO209" i="18"/>
  <c r="AW209" i="18" s="1"/>
  <c r="AK209" i="18"/>
  <c r="AJ209" i="18"/>
  <c r="AH209" i="18"/>
  <c r="AG209" i="18"/>
  <c r="AF209" i="18"/>
  <c r="AE209" i="18"/>
  <c r="AD209" i="18"/>
  <c r="Z209" i="18"/>
  <c r="M209" i="18"/>
  <c r="BF209" i="18" s="1"/>
  <c r="K209" i="18"/>
  <c r="AL209" i="18" s="1"/>
  <c r="J209" i="18"/>
  <c r="I209" i="18"/>
  <c r="BJ206" i="18"/>
  <c r="BD206" i="18"/>
  <c r="AP206" i="18"/>
  <c r="AX206" i="18" s="1"/>
  <c r="AO206" i="18"/>
  <c r="AW206" i="18" s="1"/>
  <c r="AK206" i="18"/>
  <c r="AJ206" i="18"/>
  <c r="AH206" i="18"/>
  <c r="AG206" i="18"/>
  <c r="AF206" i="18"/>
  <c r="AE206" i="18"/>
  <c r="AD206" i="18"/>
  <c r="Z206" i="18"/>
  <c r="M206" i="18"/>
  <c r="BF206" i="18" s="1"/>
  <c r="K206" i="18"/>
  <c r="AL206" i="18" s="1"/>
  <c r="BJ205" i="18"/>
  <c r="BD205" i="18"/>
  <c r="AP205" i="18"/>
  <c r="AX205" i="18" s="1"/>
  <c r="AO205" i="18"/>
  <c r="BH205" i="18" s="1"/>
  <c r="AB205" i="18" s="1"/>
  <c r="AK205" i="18"/>
  <c r="AJ205" i="18"/>
  <c r="AH205" i="18"/>
  <c r="AG205" i="18"/>
  <c r="AF205" i="18"/>
  <c r="AE205" i="18"/>
  <c r="AD205" i="18"/>
  <c r="Z205" i="18"/>
  <c r="M205" i="18"/>
  <c r="BF205" i="18" s="1"/>
  <c r="K205" i="18"/>
  <c r="AL205" i="18" s="1"/>
  <c r="BJ204" i="18"/>
  <c r="BD204" i="18"/>
  <c r="AP204" i="18"/>
  <c r="J204" i="18" s="1"/>
  <c r="AO204" i="18"/>
  <c r="AK204" i="18"/>
  <c r="AJ204" i="18"/>
  <c r="AH204" i="18"/>
  <c r="AG204" i="18"/>
  <c r="AF204" i="18"/>
  <c r="AE204" i="18"/>
  <c r="AD204" i="18"/>
  <c r="Z204" i="18"/>
  <c r="M204" i="18"/>
  <c r="BF204" i="18" s="1"/>
  <c r="K204" i="18"/>
  <c r="AL204" i="18" s="1"/>
  <c r="BJ203" i="18"/>
  <c r="BD203" i="18"/>
  <c r="AP203" i="18"/>
  <c r="AO203" i="18"/>
  <c r="BH203" i="18" s="1"/>
  <c r="AB203" i="18" s="1"/>
  <c r="AK203" i="18"/>
  <c r="AJ203" i="18"/>
  <c r="AH203" i="18"/>
  <c r="AG203" i="18"/>
  <c r="AF203" i="18"/>
  <c r="AE203" i="18"/>
  <c r="AD203" i="18"/>
  <c r="Z203" i="18"/>
  <c r="M203" i="18"/>
  <c r="BF203" i="18" s="1"/>
  <c r="K203" i="18"/>
  <c r="AL203" i="18" s="1"/>
  <c r="BJ202" i="18"/>
  <c r="BD202" i="18"/>
  <c r="AP202" i="18"/>
  <c r="BI202" i="18" s="1"/>
  <c r="AC202" i="18" s="1"/>
  <c r="AO202" i="18"/>
  <c r="I202" i="18" s="1"/>
  <c r="AK202" i="18"/>
  <c r="AJ202" i="18"/>
  <c r="AH202" i="18"/>
  <c r="AG202" i="18"/>
  <c r="AF202" i="18"/>
  <c r="AE202" i="18"/>
  <c r="AD202" i="18"/>
  <c r="Z202" i="18"/>
  <c r="M202" i="18"/>
  <c r="BF202" i="18" s="1"/>
  <c r="K202" i="18"/>
  <c r="AL202" i="18" s="1"/>
  <c r="BJ201" i="18"/>
  <c r="BD201" i="18"/>
  <c r="AP201" i="18"/>
  <c r="AX201" i="18" s="1"/>
  <c r="AO201" i="18"/>
  <c r="AW201" i="18" s="1"/>
  <c r="AK201" i="18"/>
  <c r="AJ201" i="18"/>
  <c r="AH201" i="18"/>
  <c r="AG201" i="18"/>
  <c r="AF201" i="18"/>
  <c r="AE201" i="18"/>
  <c r="AD201" i="18"/>
  <c r="Z201" i="18"/>
  <c r="M201" i="18"/>
  <c r="BF201" i="18" s="1"/>
  <c r="K201" i="18"/>
  <c r="AL201" i="18" s="1"/>
  <c r="BJ200" i="18"/>
  <c r="BD200" i="18"/>
  <c r="AP200" i="18"/>
  <c r="AX200" i="18" s="1"/>
  <c r="AO200" i="18"/>
  <c r="BH200" i="18" s="1"/>
  <c r="AB200" i="18" s="1"/>
  <c r="AK200" i="18"/>
  <c r="AJ200" i="18"/>
  <c r="AH200" i="18"/>
  <c r="AG200" i="18"/>
  <c r="AF200" i="18"/>
  <c r="AE200" i="18"/>
  <c r="AD200" i="18"/>
  <c r="Z200" i="18"/>
  <c r="M200" i="18"/>
  <c r="BF200" i="18" s="1"/>
  <c r="K200" i="18"/>
  <c r="AL200" i="18" s="1"/>
  <c r="BJ199" i="18"/>
  <c r="BD199" i="18"/>
  <c r="AP199" i="18"/>
  <c r="AX199" i="18" s="1"/>
  <c r="AO199" i="18"/>
  <c r="AW199" i="18" s="1"/>
  <c r="AK199" i="18"/>
  <c r="AJ199" i="18"/>
  <c r="AH199" i="18"/>
  <c r="AG199" i="18"/>
  <c r="AF199" i="18"/>
  <c r="AE199" i="18"/>
  <c r="AD199" i="18"/>
  <c r="Z199" i="18"/>
  <c r="M199" i="18"/>
  <c r="BF199" i="18" s="1"/>
  <c r="K199" i="18"/>
  <c r="AL199" i="18" s="1"/>
  <c r="BJ191" i="18"/>
  <c r="BD191" i="18"/>
  <c r="AP191" i="18"/>
  <c r="BI191" i="18" s="1"/>
  <c r="AC191" i="18" s="1"/>
  <c r="AO191" i="18"/>
  <c r="AK191" i="18"/>
  <c r="AJ191" i="18"/>
  <c r="AH191" i="18"/>
  <c r="AG191" i="18"/>
  <c r="AF191" i="18"/>
  <c r="AE191" i="18"/>
  <c r="AD191" i="18"/>
  <c r="Z191" i="18"/>
  <c r="M191" i="18"/>
  <c r="K191" i="18"/>
  <c r="AL191" i="18" s="1"/>
  <c r="J191" i="18"/>
  <c r="BJ190" i="18"/>
  <c r="BD190" i="18"/>
  <c r="AP190" i="18"/>
  <c r="AO190" i="18"/>
  <c r="BH190" i="18" s="1"/>
  <c r="AB190" i="18" s="1"/>
  <c r="AK190" i="18"/>
  <c r="AJ190" i="18"/>
  <c r="AH190" i="18"/>
  <c r="AG190" i="18"/>
  <c r="AF190" i="18"/>
  <c r="AE190" i="18"/>
  <c r="AD190" i="18"/>
  <c r="Z190" i="18"/>
  <c r="M190" i="18"/>
  <c r="BF190" i="18" s="1"/>
  <c r="K190" i="18"/>
  <c r="AL190" i="18" s="1"/>
  <c r="I190" i="18"/>
  <c r="BJ189" i="18"/>
  <c r="BF189" i="18"/>
  <c r="BD189" i="18"/>
  <c r="AP189" i="18"/>
  <c r="BI189" i="18" s="1"/>
  <c r="AC189" i="18" s="1"/>
  <c r="AO189" i="18"/>
  <c r="I189" i="18" s="1"/>
  <c r="AK189" i="18"/>
  <c r="AJ189" i="18"/>
  <c r="AH189" i="18"/>
  <c r="AG189" i="18"/>
  <c r="AF189" i="18"/>
  <c r="AE189" i="18"/>
  <c r="AD189" i="18"/>
  <c r="Z189" i="18"/>
  <c r="M189" i="18"/>
  <c r="K189" i="18"/>
  <c r="AL189" i="18" s="1"/>
  <c r="J189" i="18"/>
  <c r="BJ188" i="18"/>
  <c r="BH188" i="18"/>
  <c r="AB188" i="18" s="1"/>
  <c r="BD188" i="18"/>
  <c r="AP188" i="18"/>
  <c r="AX188" i="18" s="1"/>
  <c r="AO188" i="18"/>
  <c r="AW188" i="18" s="1"/>
  <c r="AK188" i="18"/>
  <c r="AJ188" i="18"/>
  <c r="AH188" i="18"/>
  <c r="AG188" i="18"/>
  <c r="AF188" i="18"/>
  <c r="AE188" i="18"/>
  <c r="AD188" i="18"/>
  <c r="Z188" i="18"/>
  <c r="M188" i="18"/>
  <c r="BF188" i="18" s="1"/>
  <c r="K188" i="18"/>
  <c r="AL188" i="18" s="1"/>
  <c r="BJ187" i="18"/>
  <c r="BH187" i="18"/>
  <c r="AB187" i="18" s="1"/>
  <c r="BD187" i="18"/>
  <c r="AP187" i="18"/>
  <c r="J187" i="18" s="1"/>
  <c r="AO187" i="18"/>
  <c r="AW187" i="18" s="1"/>
  <c r="AK187" i="18"/>
  <c r="AJ187" i="18"/>
  <c r="AH187" i="18"/>
  <c r="AG187" i="18"/>
  <c r="AF187" i="18"/>
  <c r="AE187" i="18"/>
  <c r="AD187" i="18"/>
  <c r="Z187" i="18"/>
  <c r="M187" i="18"/>
  <c r="BF187" i="18" s="1"/>
  <c r="K187" i="18"/>
  <c r="AL187" i="18" s="1"/>
  <c r="I187" i="18"/>
  <c r="BJ182" i="18"/>
  <c r="BD182" i="18"/>
  <c r="AP182" i="18"/>
  <c r="AX182" i="18" s="1"/>
  <c r="AO182" i="18"/>
  <c r="BH182" i="18" s="1"/>
  <c r="AB182" i="18" s="1"/>
  <c r="AK182" i="18"/>
  <c r="AJ182" i="18"/>
  <c r="AH182" i="18"/>
  <c r="AG182" i="18"/>
  <c r="AF182" i="18"/>
  <c r="AE182" i="18"/>
  <c r="AD182" i="18"/>
  <c r="Z182" i="18"/>
  <c r="M182" i="18"/>
  <c r="BF182" i="18" s="1"/>
  <c r="K182" i="18"/>
  <c r="J182" i="18"/>
  <c r="I182" i="18"/>
  <c r="BJ179" i="18"/>
  <c r="BD179" i="18"/>
  <c r="AP179" i="18"/>
  <c r="AX179" i="18" s="1"/>
  <c r="AO179" i="18"/>
  <c r="BH179" i="18" s="1"/>
  <c r="AD179" i="18" s="1"/>
  <c r="AK179" i="18"/>
  <c r="AJ179" i="18"/>
  <c r="AH179" i="18"/>
  <c r="AG179" i="18"/>
  <c r="AF179" i="18"/>
  <c r="AC179" i="18"/>
  <c r="AB179" i="18"/>
  <c r="Z179" i="18"/>
  <c r="M179" i="18"/>
  <c r="BF179" i="18" s="1"/>
  <c r="K179" i="18"/>
  <c r="AL179" i="18" s="1"/>
  <c r="BJ175" i="18"/>
  <c r="BD175" i="18"/>
  <c r="AP175" i="18"/>
  <c r="BI175" i="18" s="1"/>
  <c r="AE175" i="18" s="1"/>
  <c r="AO175" i="18"/>
  <c r="AW175" i="18" s="1"/>
  <c r="AK175" i="18"/>
  <c r="AJ175" i="18"/>
  <c r="AS174" i="18" s="1"/>
  <c r="AH175" i="18"/>
  <c r="AG175" i="18"/>
  <c r="AF175" i="18"/>
  <c r="AC175" i="18"/>
  <c r="AB175" i="18"/>
  <c r="Z175" i="18"/>
  <c r="M175" i="18"/>
  <c r="BF175" i="18" s="1"/>
  <c r="K175" i="18"/>
  <c r="AL175" i="18" s="1"/>
  <c r="AU174" i="18" s="1"/>
  <c r="BJ172" i="18"/>
  <c r="BD172" i="18"/>
  <c r="AP172" i="18"/>
  <c r="AX172" i="18" s="1"/>
  <c r="AO172" i="18"/>
  <c r="BH172" i="18" s="1"/>
  <c r="AD172" i="18" s="1"/>
  <c r="AK172" i="18"/>
  <c r="AJ172" i="18"/>
  <c r="AH172" i="18"/>
  <c r="AG172" i="18"/>
  <c r="AF172" i="18"/>
  <c r="AC172" i="18"/>
  <c r="AB172" i="18"/>
  <c r="Z172" i="18"/>
  <c r="M172" i="18"/>
  <c r="BF172" i="18" s="1"/>
  <c r="K172" i="18"/>
  <c r="AL172" i="18" s="1"/>
  <c r="BJ170" i="18"/>
  <c r="BD170" i="18"/>
  <c r="AP170" i="18"/>
  <c r="BI170" i="18" s="1"/>
  <c r="AE170" i="18" s="1"/>
  <c r="AO170" i="18"/>
  <c r="AW170" i="18" s="1"/>
  <c r="AK170" i="18"/>
  <c r="AJ170" i="18"/>
  <c r="AH170" i="18"/>
  <c r="AG170" i="18"/>
  <c r="AF170" i="18"/>
  <c r="AC170" i="18"/>
  <c r="AB170" i="18"/>
  <c r="Z170" i="18"/>
  <c r="M170" i="18"/>
  <c r="BF170" i="18" s="1"/>
  <c r="K170" i="18"/>
  <c r="AL170" i="18" s="1"/>
  <c r="BJ168" i="18"/>
  <c r="BI168" i="18"/>
  <c r="AE168" i="18" s="1"/>
  <c r="BH168" i="18"/>
  <c r="AD168" i="18" s="1"/>
  <c r="BF168" i="18"/>
  <c r="BD168" i="18"/>
  <c r="AP168" i="18"/>
  <c r="AX168" i="18" s="1"/>
  <c r="AO168" i="18"/>
  <c r="AW168" i="18" s="1"/>
  <c r="AK168" i="18"/>
  <c r="AJ168" i="18"/>
  <c r="AH168" i="18"/>
  <c r="AG168" i="18"/>
  <c r="AF168" i="18"/>
  <c r="AC168" i="18"/>
  <c r="AB168" i="18"/>
  <c r="Z168" i="18"/>
  <c r="M168" i="18"/>
  <c r="K168" i="18"/>
  <c r="AL168" i="18" s="1"/>
  <c r="J168" i="18"/>
  <c r="I168" i="18"/>
  <c r="BJ166" i="18"/>
  <c r="BD166" i="18"/>
  <c r="AP166" i="18"/>
  <c r="BI166" i="18" s="1"/>
  <c r="AE166" i="18" s="1"/>
  <c r="AO166" i="18"/>
  <c r="AK166" i="18"/>
  <c r="AJ166" i="18"/>
  <c r="AH166" i="18"/>
  <c r="AG166" i="18"/>
  <c r="AF166" i="18"/>
  <c r="AC166" i="18"/>
  <c r="AB166" i="18"/>
  <c r="Z166" i="18"/>
  <c r="M166" i="18"/>
  <c r="BF166" i="18" s="1"/>
  <c r="K166" i="18"/>
  <c r="AL166" i="18" s="1"/>
  <c r="J166" i="18"/>
  <c r="BJ164" i="18"/>
  <c r="BD164" i="18"/>
  <c r="AP164" i="18"/>
  <c r="AO164" i="18"/>
  <c r="BH164" i="18" s="1"/>
  <c r="AD164" i="18" s="1"/>
  <c r="AK164" i="18"/>
  <c r="AJ164" i="18"/>
  <c r="AH164" i="18"/>
  <c r="AG164" i="18"/>
  <c r="AF164" i="18"/>
  <c r="AC164" i="18"/>
  <c r="AB164" i="18"/>
  <c r="Z164" i="18"/>
  <c r="M164" i="18"/>
  <c r="BF164" i="18" s="1"/>
  <c r="K164" i="18"/>
  <c r="AL164" i="18" s="1"/>
  <c r="BJ162" i="18"/>
  <c r="BF162" i="18"/>
  <c r="BD162" i="18"/>
  <c r="AP162" i="18"/>
  <c r="BI162" i="18" s="1"/>
  <c r="AE162" i="18" s="1"/>
  <c r="AO162" i="18"/>
  <c r="I162" i="18" s="1"/>
  <c r="AK162" i="18"/>
  <c r="AJ162" i="18"/>
  <c r="AH162" i="18"/>
  <c r="AG162" i="18"/>
  <c r="AF162" i="18"/>
  <c r="AC162" i="18"/>
  <c r="AB162" i="18"/>
  <c r="Z162" i="18"/>
  <c r="M162" i="18"/>
  <c r="K162" i="18"/>
  <c r="AL162" i="18" s="1"/>
  <c r="J162" i="18"/>
  <c r="BJ159" i="18"/>
  <c r="BD159" i="18"/>
  <c r="AP159" i="18"/>
  <c r="AO159" i="18"/>
  <c r="AK159" i="18"/>
  <c r="AT158" i="18" s="1"/>
  <c r="AJ159" i="18"/>
  <c r="AS158" i="18" s="1"/>
  <c r="AH159" i="18"/>
  <c r="AG159" i="18"/>
  <c r="AF159" i="18"/>
  <c r="AC159" i="18"/>
  <c r="AB159" i="18"/>
  <c r="Z159" i="18"/>
  <c r="M159" i="18"/>
  <c r="K159" i="18"/>
  <c r="AL159" i="18" s="1"/>
  <c r="AU158" i="18" s="1"/>
  <c r="BJ155" i="18"/>
  <c r="BD155" i="18"/>
  <c r="AP155" i="18"/>
  <c r="AX155" i="18" s="1"/>
  <c r="AO155" i="18"/>
  <c r="BH155" i="18" s="1"/>
  <c r="AD155" i="18" s="1"/>
  <c r="AK155" i="18"/>
  <c r="AJ155" i="18"/>
  <c r="AH155" i="18"/>
  <c r="AG155" i="18"/>
  <c r="AF155" i="18"/>
  <c r="AC155" i="18"/>
  <c r="AB155" i="18"/>
  <c r="Z155" i="18"/>
  <c r="M155" i="18"/>
  <c r="BF155" i="18" s="1"/>
  <c r="K155" i="18"/>
  <c r="AL155" i="18" s="1"/>
  <c r="I155" i="18"/>
  <c r="BJ153" i="18"/>
  <c r="BD153" i="18"/>
  <c r="AP153" i="18"/>
  <c r="BI153" i="18" s="1"/>
  <c r="AE153" i="18" s="1"/>
  <c r="AO153" i="18"/>
  <c r="AK153" i="18"/>
  <c r="AJ153" i="18"/>
  <c r="AH153" i="18"/>
  <c r="AG153" i="18"/>
  <c r="AF153" i="18"/>
  <c r="AC153" i="18"/>
  <c r="AB153" i="18"/>
  <c r="Z153" i="18"/>
  <c r="M153" i="18"/>
  <c r="BF153" i="18" s="1"/>
  <c r="K153" i="18"/>
  <c r="AL153" i="18" s="1"/>
  <c r="BJ150" i="18"/>
  <c r="BD150" i="18"/>
  <c r="AP150" i="18"/>
  <c r="AO150" i="18"/>
  <c r="BH150" i="18" s="1"/>
  <c r="AD150" i="18" s="1"/>
  <c r="AK150" i="18"/>
  <c r="AJ150" i="18"/>
  <c r="AH150" i="18"/>
  <c r="AG150" i="18"/>
  <c r="AF150" i="18"/>
  <c r="AC150" i="18"/>
  <c r="AB150" i="18"/>
  <c r="Z150" i="18"/>
  <c r="M150" i="18"/>
  <c r="BF150" i="18" s="1"/>
  <c r="K150" i="18"/>
  <c r="AL150" i="18" s="1"/>
  <c r="BJ147" i="18"/>
  <c r="BD147" i="18"/>
  <c r="AP147" i="18"/>
  <c r="BI147" i="18" s="1"/>
  <c r="AE147" i="18" s="1"/>
  <c r="AO147" i="18"/>
  <c r="BH147" i="18" s="1"/>
  <c r="AD147" i="18" s="1"/>
  <c r="AK147" i="18"/>
  <c r="AJ147" i="18"/>
  <c r="AH147" i="18"/>
  <c r="AG147" i="18"/>
  <c r="AF147" i="18"/>
  <c r="AC147" i="18"/>
  <c r="AB147" i="18"/>
  <c r="Z147" i="18"/>
  <c r="M147" i="18"/>
  <c r="BF147" i="18" s="1"/>
  <c r="K147" i="18"/>
  <c r="AL147" i="18" s="1"/>
  <c r="BJ143" i="18"/>
  <c r="BD143" i="18"/>
  <c r="AP143" i="18"/>
  <c r="AX143" i="18" s="1"/>
  <c r="AO143" i="18"/>
  <c r="AW143" i="18" s="1"/>
  <c r="AV143" i="18" s="1"/>
  <c r="AK143" i="18"/>
  <c r="AJ143" i="18"/>
  <c r="AH143" i="18"/>
  <c r="AG143" i="18"/>
  <c r="AF143" i="18"/>
  <c r="AC143" i="18"/>
  <c r="AB143" i="18"/>
  <c r="Z143" i="18"/>
  <c r="M143" i="18"/>
  <c r="BF143" i="18" s="1"/>
  <c r="K143" i="18"/>
  <c r="BJ140" i="18"/>
  <c r="BD140" i="18"/>
  <c r="AP140" i="18"/>
  <c r="BI140" i="18" s="1"/>
  <c r="AE140" i="18" s="1"/>
  <c r="AO140" i="18"/>
  <c r="I140" i="18" s="1"/>
  <c r="I139" i="18" s="1"/>
  <c r="AK140" i="18"/>
  <c r="AT139" i="18" s="1"/>
  <c r="AJ140" i="18"/>
  <c r="AS139" i="18" s="1"/>
  <c r="AH140" i="18"/>
  <c r="AG140" i="18"/>
  <c r="AF140" i="18"/>
  <c r="AC140" i="18"/>
  <c r="AB140" i="18"/>
  <c r="Z140" i="18"/>
  <c r="M140" i="18"/>
  <c r="BF140" i="18" s="1"/>
  <c r="K140" i="18"/>
  <c r="AL140" i="18" s="1"/>
  <c r="AU139" i="18" s="1"/>
  <c r="M139" i="18"/>
  <c r="BJ136" i="18"/>
  <c r="BD136" i="18"/>
  <c r="AP136" i="18"/>
  <c r="J136" i="18" s="1"/>
  <c r="J135" i="18" s="1"/>
  <c r="AO136" i="18"/>
  <c r="AK136" i="18"/>
  <c r="AT135" i="18" s="1"/>
  <c r="AJ136" i="18"/>
  <c r="AS135" i="18" s="1"/>
  <c r="AH136" i="18"/>
  <c r="AG136" i="18"/>
  <c r="AF136" i="18"/>
  <c r="AC136" i="18"/>
  <c r="AB136" i="18"/>
  <c r="Z136" i="18"/>
  <c r="M136" i="18"/>
  <c r="K136" i="18"/>
  <c r="K135" i="18" s="1"/>
  <c r="BJ133" i="18"/>
  <c r="BD133" i="18"/>
  <c r="AP133" i="18"/>
  <c r="AX133" i="18" s="1"/>
  <c r="AO133" i="18"/>
  <c r="AW133" i="18" s="1"/>
  <c r="AK133" i="18"/>
  <c r="AT132" i="18" s="1"/>
  <c r="AJ133" i="18"/>
  <c r="AS132" i="18" s="1"/>
  <c r="AH133" i="18"/>
  <c r="AG133" i="18"/>
  <c r="AF133" i="18"/>
  <c r="AE133" i="18"/>
  <c r="AD133" i="18"/>
  <c r="Z133" i="18"/>
  <c r="M133" i="18"/>
  <c r="BF133" i="18" s="1"/>
  <c r="K133" i="18"/>
  <c r="K132" i="18" s="1"/>
  <c r="I133" i="18"/>
  <c r="I132" i="18" s="1"/>
  <c r="BJ128" i="18"/>
  <c r="BD128" i="18"/>
  <c r="AP128" i="18"/>
  <c r="AX128" i="18" s="1"/>
  <c r="AO128" i="18"/>
  <c r="AW128" i="18" s="1"/>
  <c r="AK128" i="18"/>
  <c r="AJ128" i="18"/>
  <c r="AH128" i="18"/>
  <c r="AG128" i="18"/>
  <c r="AF128" i="18"/>
  <c r="AE128" i="18"/>
  <c r="AD128" i="18"/>
  <c r="Z128" i="18"/>
  <c r="M128" i="18"/>
  <c r="BF128" i="18" s="1"/>
  <c r="K128" i="18"/>
  <c r="AL128" i="18" s="1"/>
  <c r="I128" i="18"/>
  <c r="BJ124" i="18"/>
  <c r="BH124" i="18"/>
  <c r="AB124" i="18" s="1"/>
  <c r="BF124" i="18"/>
  <c r="BD124" i="18"/>
  <c r="AP124" i="18"/>
  <c r="AX124" i="18" s="1"/>
  <c r="AO124" i="18"/>
  <c r="AW124" i="18" s="1"/>
  <c r="AK124" i="18"/>
  <c r="AJ124" i="18"/>
  <c r="AH124" i="18"/>
  <c r="AG124" i="18"/>
  <c r="AF124" i="18"/>
  <c r="AE124" i="18"/>
  <c r="AD124" i="18"/>
  <c r="Z124" i="18"/>
  <c r="M124" i="18"/>
  <c r="M123" i="18" s="1"/>
  <c r="K124" i="18"/>
  <c r="K123" i="18" s="1"/>
  <c r="I124" i="18"/>
  <c r="AT123" i="18"/>
  <c r="BJ121" i="18"/>
  <c r="BD121" i="18"/>
  <c r="AP121" i="18"/>
  <c r="BI121" i="18" s="1"/>
  <c r="AC121" i="18" s="1"/>
  <c r="AO121" i="18"/>
  <c r="I121" i="18" s="1"/>
  <c r="I120" i="18" s="1"/>
  <c r="AK121" i="18"/>
  <c r="AT120" i="18" s="1"/>
  <c r="AJ121" i="18"/>
  <c r="AS120" i="18" s="1"/>
  <c r="AH121" i="18"/>
  <c r="AG121" i="18"/>
  <c r="AF121" i="18"/>
  <c r="AE121" i="18"/>
  <c r="AD121" i="18"/>
  <c r="Z121" i="18"/>
  <c r="M121" i="18"/>
  <c r="BF121" i="18" s="1"/>
  <c r="K121" i="18"/>
  <c r="AL121" i="18" s="1"/>
  <c r="AU120" i="18" s="1"/>
  <c r="M120" i="18"/>
  <c r="BJ118" i="18"/>
  <c r="BD118" i="18"/>
  <c r="AP118" i="18"/>
  <c r="AO118" i="18"/>
  <c r="I118" i="18" s="1"/>
  <c r="AK118" i="18"/>
  <c r="AJ118" i="18"/>
  <c r="AH118" i="18"/>
  <c r="AE118" i="18"/>
  <c r="AD118" i="18"/>
  <c r="AC118" i="18"/>
  <c r="AB118" i="18"/>
  <c r="Z118" i="18"/>
  <c r="M118" i="18"/>
  <c r="BF118" i="18" s="1"/>
  <c r="K118" i="18"/>
  <c r="AL118" i="18" s="1"/>
  <c r="BJ116" i="18"/>
  <c r="BF116" i="18"/>
  <c r="BD116" i="18"/>
  <c r="AP116" i="18"/>
  <c r="BI116" i="18" s="1"/>
  <c r="AC116" i="18" s="1"/>
  <c r="AO116" i="18"/>
  <c r="BH116" i="18" s="1"/>
  <c r="AB116" i="18" s="1"/>
  <c r="AK116" i="18"/>
  <c r="AJ116" i="18"/>
  <c r="AH116" i="18"/>
  <c r="AG116" i="18"/>
  <c r="AF116" i="18"/>
  <c r="AE116" i="18"/>
  <c r="AD116" i="18"/>
  <c r="Z116" i="18"/>
  <c r="M116" i="18"/>
  <c r="K116" i="18"/>
  <c r="AL116" i="18" s="1"/>
  <c r="I116" i="18"/>
  <c r="AT115" i="18"/>
  <c r="M115" i="18"/>
  <c r="BJ113" i="18"/>
  <c r="BD113" i="18"/>
  <c r="AP113" i="18"/>
  <c r="AO113" i="18"/>
  <c r="AK113" i="18"/>
  <c r="AJ113" i="18"/>
  <c r="AH113" i="18"/>
  <c r="AG113" i="18"/>
  <c r="AF113" i="18"/>
  <c r="AE113" i="18"/>
  <c r="AD113" i="18"/>
  <c r="Z113" i="18"/>
  <c r="M113" i="18"/>
  <c r="BF113" i="18" s="1"/>
  <c r="K113" i="18"/>
  <c r="AL113" i="18" s="1"/>
  <c r="BJ111" i="18"/>
  <c r="BD111" i="18"/>
  <c r="AW111" i="18"/>
  <c r="AP111" i="18"/>
  <c r="BI111" i="18" s="1"/>
  <c r="AC111" i="18" s="1"/>
  <c r="AO111" i="18"/>
  <c r="BH111" i="18" s="1"/>
  <c r="AB111" i="18" s="1"/>
  <c r="AK111" i="18"/>
  <c r="AJ111" i="18"/>
  <c r="AH111" i="18"/>
  <c r="AG111" i="18"/>
  <c r="AF111" i="18"/>
  <c r="AE111" i="18"/>
  <c r="AD111" i="18"/>
  <c r="Z111" i="18"/>
  <c r="M111" i="18"/>
  <c r="BF111" i="18" s="1"/>
  <c r="K111" i="18"/>
  <c r="AL111" i="18" s="1"/>
  <c r="AU110" i="18" s="1"/>
  <c r="J111" i="18"/>
  <c r="I111" i="18"/>
  <c r="AS110" i="18"/>
  <c r="BJ108" i="18"/>
  <c r="BD108" i="18"/>
  <c r="AP108" i="18"/>
  <c r="BI108" i="18" s="1"/>
  <c r="AC108" i="18" s="1"/>
  <c r="AO108" i="18"/>
  <c r="BH108" i="18" s="1"/>
  <c r="AB108" i="18" s="1"/>
  <c r="AK108" i="18"/>
  <c r="AJ108" i="18"/>
  <c r="AH108" i="18"/>
  <c r="AG108" i="18"/>
  <c r="AF108" i="18"/>
  <c r="AE108" i="18"/>
  <c r="AD108" i="18"/>
  <c r="Z108" i="18"/>
  <c r="M108" i="18"/>
  <c r="BF108" i="18" s="1"/>
  <c r="K108" i="18"/>
  <c r="AL108" i="18" s="1"/>
  <c r="J108" i="18"/>
  <c r="BJ106" i="18"/>
  <c r="BI106" i="18"/>
  <c r="AC106" i="18" s="1"/>
  <c r="BD106" i="18"/>
  <c r="AX106" i="18"/>
  <c r="AP106" i="18"/>
  <c r="J106" i="18" s="1"/>
  <c r="AO106" i="18"/>
  <c r="I106" i="18" s="1"/>
  <c r="AK106" i="18"/>
  <c r="AJ106" i="18"/>
  <c r="AH106" i="18"/>
  <c r="AG106" i="18"/>
  <c r="AF106" i="18"/>
  <c r="AE106" i="18"/>
  <c r="AD106" i="18"/>
  <c r="Z106" i="18"/>
  <c r="M106" i="18"/>
  <c r="BF106" i="18" s="1"/>
  <c r="K106" i="18"/>
  <c r="AL106" i="18" s="1"/>
  <c r="BJ104" i="18"/>
  <c r="BH104" i="18"/>
  <c r="AB104" i="18" s="1"/>
  <c r="BD104" i="18"/>
  <c r="AP104" i="18"/>
  <c r="J104" i="18" s="1"/>
  <c r="AO104" i="18"/>
  <c r="AW104" i="18" s="1"/>
  <c r="AK104" i="18"/>
  <c r="AJ104" i="18"/>
  <c r="AS101" i="18" s="1"/>
  <c r="AH104" i="18"/>
  <c r="AG104" i="18"/>
  <c r="AF104" i="18"/>
  <c r="AE104" i="18"/>
  <c r="AD104" i="18"/>
  <c r="Z104" i="18"/>
  <c r="M104" i="18"/>
  <c r="BF104" i="18" s="1"/>
  <c r="K104" i="18"/>
  <c r="AL104" i="18" s="1"/>
  <c r="I104" i="18"/>
  <c r="BJ102" i="18"/>
  <c r="BD102" i="18"/>
  <c r="AP102" i="18"/>
  <c r="AX102" i="18" s="1"/>
  <c r="AO102" i="18"/>
  <c r="AW102" i="18" s="1"/>
  <c r="AK102" i="18"/>
  <c r="AT101" i="18" s="1"/>
  <c r="AJ102" i="18"/>
  <c r="AH102" i="18"/>
  <c r="AG102" i="18"/>
  <c r="AF102" i="18"/>
  <c r="AE102" i="18"/>
  <c r="AD102" i="18"/>
  <c r="Z102" i="18"/>
  <c r="M102" i="18"/>
  <c r="M101" i="18" s="1"/>
  <c r="K102" i="18"/>
  <c r="AL102" i="18" s="1"/>
  <c r="BJ99" i="18"/>
  <c r="BF99" i="18"/>
  <c r="BD99" i="18"/>
  <c r="AP99" i="18"/>
  <c r="J99" i="18" s="1"/>
  <c r="J98" i="18" s="1"/>
  <c r="AO99" i="18"/>
  <c r="BH99" i="18" s="1"/>
  <c r="AB99" i="18" s="1"/>
  <c r="AK99" i="18"/>
  <c r="AJ99" i="18"/>
  <c r="AH99" i="18"/>
  <c r="AG99" i="18"/>
  <c r="AF99" i="18"/>
  <c r="AE99" i="18"/>
  <c r="AD99" i="18"/>
  <c r="Z99" i="18"/>
  <c r="M99" i="18"/>
  <c r="K99" i="18"/>
  <c r="AL99" i="18" s="1"/>
  <c r="AU98" i="18" s="1"/>
  <c r="I99" i="18"/>
  <c r="I98" i="18" s="1"/>
  <c r="AT98" i="18"/>
  <c r="AS98" i="18"/>
  <c r="M98" i="18"/>
  <c r="BJ96" i="18"/>
  <c r="BD96" i="18"/>
  <c r="AP96" i="18"/>
  <c r="J96" i="18" s="1"/>
  <c r="AO96" i="18"/>
  <c r="I96" i="18" s="1"/>
  <c r="AK96" i="18"/>
  <c r="AJ96" i="18"/>
  <c r="AH96" i="18"/>
  <c r="AG96" i="18"/>
  <c r="AF96" i="18"/>
  <c r="AE96" i="18"/>
  <c r="AD96" i="18"/>
  <c r="Z96" i="18"/>
  <c r="M96" i="18"/>
  <c r="BF96" i="18" s="1"/>
  <c r="K96" i="18"/>
  <c r="AL96" i="18" s="1"/>
  <c r="BJ94" i="18"/>
  <c r="BI94" i="18"/>
  <c r="AC94" i="18" s="1"/>
  <c r="BD94" i="18"/>
  <c r="AP94" i="18"/>
  <c r="AX94" i="18" s="1"/>
  <c r="AO94" i="18"/>
  <c r="I94" i="18" s="1"/>
  <c r="AK94" i="18"/>
  <c r="AJ94" i="18"/>
  <c r="AH94" i="18"/>
  <c r="AG94" i="18"/>
  <c r="AF94" i="18"/>
  <c r="AE94" i="18"/>
  <c r="AD94" i="18"/>
  <c r="Z94" i="18"/>
  <c r="M94" i="18"/>
  <c r="BF94" i="18" s="1"/>
  <c r="K94" i="18"/>
  <c r="AL94" i="18" s="1"/>
  <c r="J94" i="18"/>
  <c r="BJ92" i="18"/>
  <c r="BD92" i="18"/>
  <c r="AP92" i="18"/>
  <c r="AX92" i="18" s="1"/>
  <c r="AO92" i="18"/>
  <c r="AW92" i="18" s="1"/>
  <c r="AK92" i="18"/>
  <c r="AJ92" i="18"/>
  <c r="AH92" i="18"/>
  <c r="AG92" i="18"/>
  <c r="AF92" i="18"/>
  <c r="AE92" i="18"/>
  <c r="AD92" i="18"/>
  <c r="Z92" i="18"/>
  <c r="M92" i="18"/>
  <c r="BF92" i="18" s="1"/>
  <c r="K92" i="18"/>
  <c r="AL92" i="18" s="1"/>
  <c r="BJ88" i="18"/>
  <c r="BF88" i="18"/>
  <c r="BD88" i="18"/>
  <c r="AP88" i="18"/>
  <c r="AX88" i="18" s="1"/>
  <c r="AO88" i="18"/>
  <c r="AW88" i="18" s="1"/>
  <c r="AK88" i="18"/>
  <c r="AJ88" i="18"/>
  <c r="AH88" i="18"/>
  <c r="AG88" i="18"/>
  <c r="AF88" i="18"/>
  <c r="AE88" i="18"/>
  <c r="AD88" i="18"/>
  <c r="Z88" i="18"/>
  <c r="M88" i="18"/>
  <c r="K88" i="18"/>
  <c r="AL88" i="18" s="1"/>
  <c r="I88" i="18"/>
  <c r="BJ84" i="18"/>
  <c r="BH84" i="18"/>
  <c r="AB84" i="18" s="1"/>
  <c r="BD84" i="18"/>
  <c r="AP84" i="18"/>
  <c r="AX84" i="18" s="1"/>
  <c r="AO84" i="18"/>
  <c r="AW84" i="18" s="1"/>
  <c r="AK84" i="18"/>
  <c r="AJ84" i="18"/>
  <c r="AH84" i="18"/>
  <c r="AG84" i="18"/>
  <c r="AF84" i="18"/>
  <c r="AE84" i="18"/>
  <c r="AD84" i="18"/>
  <c r="Z84" i="18"/>
  <c r="M84" i="18"/>
  <c r="BF84" i="18" s="1"/>
  <c r="K84" i="18"/>
  <c r="AL84" i="18" s="1"/>
  <c r="J84" i="18"/>
  <c r="I84" i="18"/>
  <c r="BJ78" i="18"/>
  <c r="BD78" i="18"/>
  <c r="AP78" i="18"/>
  <c r="BI78" i="18" s="1"/>
  <c r="AC78" i="18" s="1"/>
  <c r="AO78" i="18"/>
  <c r="I78" i="18" s="1"/>
  <c r="AK78" i="18"/>
  <c r="AJ78" i="18"/>
  <c r="AH78" i="18"/>
  <c r="AG78" i="18"/>
  <c r="AF78" i="18"/>
  <c r="AE78" i="18"/>
  <c r="AD78" i="18"/>
  <c r="Z78" i="18"/>
  <c r="M78" i="18"/>
  <c r="BF78" i="18" s="1"/>
  <c r="K78" i="18"/>
  <c r="J78" i="18"/>
  <c r="BJ75" i="18"/>
  <c r="BI75" i="18"/>
  <c r="AC75" i="18" s="1"/>
  <c r="BF75" i="18"/>
  <c r="BD75" i="18"/>
  <c r="AP75" i="18"/>
  <c r="AX75" i="18" s="1"/>
  <c r="AO75" i="18"/>
  <c r="AW75" i="18" s="1"/>
  <c r="AK75" i="18"/>
  <c r="AJ75" i="18"/>
  <c r="AH75" i="18"/>
  <c r="AG75" i="18"/>
  <c r="AF75" i="18"/>
  <c r="AE75" i="18"/>
  <c r="AD75" i="18"/>
  <c r="Z75" i="18"/>
  <c r="M75" i="18"/>
  <c r="K75" i="18"/>
  <c r="AL75" i="18" s="1"/>
  <c r="J75" i="18"/>
  <c r="I75" i="18"/>
  <c r="BJ73" i="18"/>
  <c r="BD73" i="18"/>
  <c r="AP73" i="18"/>
  <c r="AX73" i="18" s="1"/>
  <c r="AO73" i="18"/>
  <c r="BH73" i="18" s="1"/>
  <c r="AB73" i="18" s="1"/>
  <c r="AK73" i="18"/>
  <c r="AJ73" i="18"/>
  <c r="AH73" i="18"/>
  <c r="AG73" i="18"/>
  <c r="AF73" i="18"/>
  <c r="AE73" i="18"/>
  <c r="AD73" i="18"/>
  <c r="Z73" i="18"/>
  <c r="M73" i="18"/>
  <c r="BF73" i="18" s="1"/>
  <c r="K73" i="18"/>
  <c r="AL73" i="18" s="1"/>
  <c r="J73" i="18"/>
  <c r="I73" i="18"/>
  <c r="BJ69" i="18"/>
  <c r="BD69" i="18"/>
  <c r="AP69" i="18"/>
  <c r="J69" i="18" s="1"/>
  <c r="AO69" i="18"/>
  <c r="I69" i="18" s="1"/>
  <c r="AK69" i="18"/>
  <c r="AJ69" i="18"/>
  <c r="AH69" i="18"/>
  <c r="AG69" i="18"/>
  <c r="AF69" i="18"/>
  <c r="AE69" i="18"/>
  <c r="AD69" i="18"/>
  <c r="Z69" i="18"/>
  <c r="M69" i="18"/>
  <c r="BF69" i="18" s="1"/>
  <c r="K69" i="18"/>
  <c r="AL69" i="18" s="1"/>
  <c r="BJ67" i="18"/>
  <c r="BF67" i="18"/>
  <c r="BD67" i="18"/>
  <c r="AP67" i="18"/>
  <c r="J67" i="18" s="1"/>
  <c r="AO67" i="18"/>
  <c r="BH67" i="18" s="1"/>
  <c r="AB67" i="18" s="1"/>
  <c r="AK67" i="18"/>
  <c r="AJ67" i="18"/>
  <c r="AH67" i="18"/>
  <c r="AG67" i="18"/>
  <c r="AF67" i="18"/>
  <c r="AE67" i="18"/>
  <c r="AD67" i="18"/>
  <c r="Z67" i="18"/>
  <c r="M67" i="18"/>
  <c r="K67" i="18"/>
  <c r="AL67" i="18" s="1"/>
  <c r="I67" i="18"/>
  <c r="BJ64" i="18"/>
  <c r="BI64" i="18"/>
  <c r="AC64" i="18" s="1"/>
  <c r="BD64" i="18"/>
  <c r="AX64" i="18"/>
  <c r="AP64" i="18"/>
  <c r="J64" i="18" s="1"/>
  <c r="AO64" i="18"/>
  <c r="BH64" i="18" s="1"/>
  <c r="AB64" i="18" s="1"/>
  <c r="AK64" i="18"/>
  <c r="AJ64" i="18"/>
  <c r="AH64" i="18"/>
  <c r="AG64" i="18"/>
  <c r="AF64" i="18"/>
  <c r="AE64" i="18"/>
  <c r="AD64" i="18"/>
  <c r="Z64" i="18"/>
  <c r="M64" i="18"/>
  <c r="BF64" i="18" s="1"/>
  <c r="K64" i="18"/>
  <c r="AL64" i="18" s="1"/>
  <c r="BJ62" i="18"/>
  <c r="BD62" i="18"/>
  <c r="AP62" i="18"/>
  <c r="AX62" i="18" s="1"/>
  <c r="AO62" i="18"/>
  <c r="AW62" i="18" s="1"/>
  <c r="AV62" i="18" s="1"/>
  <c r="AK62" i="18"/>
  <c r="AJ62" i="18"/>
  <c r="AH62" i="18"/>
  <c r="AG62" i="18"/>
  <c r="AF62" i="18"/>
  <c r="AE62" i="18"/>
  <c r="AD62" i="18"/>
  <c r="Z62" i="18"/>
  <c r="M62" i="18"/>
  <c r="BF62" i="18" s="1"/>
  <c r="K62" i="18"/>
  <c r="AL62" i="18" s="1"/>
  <c r="BJ59" i="18"/>
  <c r="BH59" i="18"/>
  <c r="AB59" i="18" s="1"/>
  <c r="BF59" i="18"/>
  <c r="BD59" i="18"/>
  <c r="AW59" i="18"/>
  <c r="AP59" i="18"/>
  <c r="AX59" i="18" s="1"/>
  <c r="BC59" i="18" s="1"/>
  <c r="AO59" i="18"/>
  <c r="AK59" i="18"/>
  <c r="AJ59" i="18"/>
  <c r="AH59" i="18"/>
  <c r="AG59" i="18"/>
  <c r="AF59" i="18"/>
  <c r="AE59" i="18"/>
  <c r="AD59" i="18"/>
  <c r="Z59" i="18"/>
  <c r="M59" i="18"/>
  <c r="K59" i="18"/>
  <c r="AL59" i="18" s="1"/>
  <c r="J59" i="18"/>
  <c r="I59" i="18"/>
  <c r="BJ56" i="18"/>
  <c r="BD56" i="18"/>
  <c r="AP56" i="18"/>
  <c r="AX56" i="18" s="1"/>
  <c r="AO56" i="18"/>
  <c r="BH56" i="18" s="1"/>
  <c r="AB56" i="18" s="1"/>
  <c r="AK56" i="18"/>
  <c r="AJ56" i="18"/>
  <c r="AH56" i="18"/>
  <c r="AG56" i="18"/>
  <c r="AF56" i="18"/>
  <c r="AE56" i="18"/>
  <c r="AD56" i="18"/>
  <c r="Z56" i="18"/>
  <c r="M56" i="18"/>
  <c r="BF56" i="18" s="1"/>
  <c r="K56" i="18"/>
  <c r="AL56" i="18" s="1"/>
  <c r="J56" i="18"/>
  <c r="BJ53" i="18"/>
  <c r="BD53" i="18"/>
  <c r="AP53" i="18"/>
  <c r="J53" i="18" s="1"/>
  <c r="AO53" i="18"/>
  <c r="I53" i="18" s="1"/>
  <c r="AK53" i="18"/>
  <c r="AJ53" i="18"/>
  <c r="AS52" i="18" s="1"/>
  <c r="AH53" i="18"/>
  <c r="AG53" i="18"/>
  <c r="AF53" i="18"/>
  <c r="AE53" i="18"/>
  <c r="AD53" i="18"/>
  <c r="Z53" i="18"/>
  <c r="M53" i="18"/>
  <c r="BF53" i="18" s="1"/>
  <c r="K53" i="18"/>
  <c r="AL53" i="18" s="1"/>
  <c r="BJ50" i="18"/>
  <c r="BI50" i="18"/>
  <c r="AC50" i="18" s="1"/>
  <c r="BD50" i="18"/>
  <c r="AP50" i="18"/>
  <c r="AX50" i="18" s="1"/>
  <c r="AO50" i="18"/>
  <c r="AW50" i="18" s="1"/>
  <c r="AK50" i="18"/>
  <c r="AJ50" i="18"/>
  <c r="AH50" i="18"/>
  <c r="AG50" i="18"/>
  <c r="AF50" i="18"/>
  <c r="AE50" i="18"/>
  <c r="AD50" i="18"/>
  <c r="Z50" i="18"/>
  <c r="M50" i="18"/>
  <c r="BF50" i="18" s="1"/>
  <c r="K50" i="18"/>
  <c r="AL50" i="18" s="1"/>
  <c r="J50" i="18"/>
  <c r="I50" i="18"/>
  <c r="BJ48" i="18"/>
  <c r="BD48" i="18"/>
  <c r="AP48" i="18"/>
  <c r="BI48" i="18" s="1"/>
  <c r="AC48" i="18" s="1"/>
  <c r="AO48" i="18"/>
  <c r="I48" i="18" s="1"/>
  <c r="AK48" i="18"/>
  <c r="AJ48" i="18"/>
  <c r="AH48" i="18"/>
  <c r="AG48" i="18"/>
  <c r="AF48" i="18"/>
  <c r="AE48" i="18"/>
  <c r="AD48" i="18"/>
  <c r="Z48" i="18"/>
  <c r="M48" i="18"/>
  <c r="BF48" i="18" s="1"/>
  <c r="K48" i="18"/>
  <c r="AL48" i="18" s="1"/>
  <c r="BJ46" i="18"/>
  <c r="BD46" i="18"/>
  <c r="AP46" i="18"/>
  <c r="J46" i="18" s="1"/>
  <c r="AO46" i="18"/>
  <c r="I46" i="18" s="1"/>
  <c r="AK46" i="18"/>
  <c r="AJ46" i="18"/>
  <c r="AH46" i="18"/>
  <c r="AG46" i="18"/>
  <c r="AF46" i="18"/>
  <c r="AE46" i="18"/>
  <c r="AD46" i="18"/>
  <c r="Z46" i="18"/>
  <c r="M46" i="18"/>
  <c r="BF46" i="18" s="1"/>
  <c r="K46" i="18"/>
  <c r="AL46" i="18" s="1"/>
  <c r="BJ44" i="18"/>
  <c r="BD44" i="18"/>
  <c r="AP44" i="18"/>
  <c r="BI44" i="18" s="1"/>
  <c r="AC44" i="18" s="1"/>
  <c r="AO44" i="18"/>
  <c r="I44" i="18" s="1"/>
  <c r="AK44" i="18"/>
  <c r="AJ44" i="18"/>
  <c r="AH44" i="18"/>
  <c r="AG44" i="18"/>
  <c r="AF44" i="18"/>
  <c r="AE44" i="18"/>
  <c r="AD44" i="18"/>
  <c r="Z44" i="18"/>
  <c r="M44" i="18"/>
  <c r="BF44" i="18" s="1"/>
  <c r="K44" i="18"/>
  <c r="AL44" i="18" s="1"/>
  <c r="BJ42" i="18"/>
  <c r="BD42" i="18"/>
  <c r="AP42" i="18"/>
  <c r="J42" i="18" s="1"/>
  <c r="AO42" i="18"/>
  <c r="AW42" i="18" s="1"/>
  <c r="AK42" i="18"/>
  <c r="AJ42" i="18"/>
  <c r="AH42" i="18"/>
  <c r="AG42" i="18"/>
  <c r="AF42" i="18"/>
  <c r="AE42" i="18"/>
  <c r="AD42" i="18"/>
  <c r="Z42" i="18"/>
  <c r="M42" i="18"/>
  <c r="BF42" i="18" s="1"/>
  <c r="K42" i="18"/>
  <c r="AL42" i="18" s="1"/>
  <c r="BJ40" i="18"/>
  <c r="BD40" i="18"/>
  <c r="AP40" i="18"/>
  <c r="AX40" i="18" s="1"/>
  <c r="AO40" i="18"/>
  <c r="AW40" i="18" s="1"/>
  <c r="AK40" i="18"/>
  <c r="AJ40" i="18"/>
  <c r="AH40" i="18"/>
  <c r="AG40" i="18"/>
  <c r="AF40" i="18"/>
  <c r="AE40" i="18"/>
  <c r="AD40" i="18"/>
  <c r="Z40" i="18"/>
  <c r="M40" i="18"/>
  <c r="BF40" i="18" s="1"/>
  <c r="K40" i="18"/>
  <c r="AL40" i="18" s="1"/>
  <c r="BJ38" i="18"/>
  <c r="BD38" i="18"/>
  <c r="AP38" i="18"/>
  <c r="AX38" i="18" s="1"/>
  <c r="AO38" i="18"/>
  <c r="AW38" i="18" s="1"/>
  <c r="AK38" i="18"/>
  <c r="AJ38" i="18"/>
  <c r="AH38" i="18"/>
  <c r="AG38" i="18"/>
  <c r="AF38" i="18"/>
  <c r="AE38" i="18"/>
  <c r="AD38" i="18"/>
  <c r="Z38" i="18"/>
  <c r="M38" i="18"/>
  <c r="BF38" i="18" s="1"/>
  <c r="K38" i="18"/>
  <c r="BJ35" i="18"/>
  <c r="BF35" i="18"/>
  <c r="BD35" i="18"/>
  <c r="AP35" i="18"/>
  <c r="AX35" i="18" s="1"/>
  <c r="AO35" i="18"/>
  <c r="BH35" i="18" s="1"/>
  <c r="AB35" i="18" s="1"/>
  <c r="AK35" i="18"/>
  <c r="AJ35" i="18"/>
  <c r="AH35" i="18"/>
  <c r="AG35" i="18"/>
  <c r="AF35" i="18"/>
  <c r="AE35" i="18"/>
  <c r="AD35" i="18"/>
  <c r="Z35" i="18"/>
  <c r="M35" i="18"/>
  <c r="K35" i="18"/>
  <c r="AL35" i="18" s="1"/>
  <c r="BJ33" i="18"/>
  <c r="BI33" i="18"/>
  <c r="AC33" i="18" s="1"/>
  <c r="BH33" i="18"/>
  <c r="AB33" i="18" s="1"/>
  <c r="BF33" i="18"/>
  <c r="BD33" i="18"/>
  <c r="AP33" i="18"/>
  <c r="AX33" i="18" s="1"/>
  <c r="AO33" i="18"/>
  <c r="AW33" i="18" s="1"/>
  <c r="AK33" i="18"/>
  <c r="AJ33" i="18"/>
  <c r="AH33" i="18"/>
  <c r="AG33" i="18"/>
  <c r="AF33" i="18"/>
  <c r="AE33" i="18"/>
  <c r="AD33" i="18"/>
  <c r="Z33" i="18"/>
  <c r="M33" i="18"/>
  <c r="K33" i="18"/>
  <c r="AL33" i="18" s="1"/>
  <c r="J33" i="18"/>
  <c r="I33" i="18"/>
  <c r="BJ31" i="18"/>
  <c r="BD31" i="18"/>
  <c r="AP31" i="18"/>
  <c r="AX31" i="18" s="1"/>
  <c r="AO31" i="18"/>
  <c r="BH31" i="18" s="1"/>
  <c r="AB31" i="18" s="1"/>
  <c r="AK31" i="18"/>
  <c r="AJ31" i="18"/>
  <c r="AH31" i="18"/>
  <c r="AG31" i="18"/>
  <c r="AF31" i="18"/>
  <c r="AE31" i="18"/>
  <c r="AD31" i="18"/>
  <c r="Z31" i="18"/>
  <c r="M31" i="18"/>
  <c r="BF31" i="18" s="1"/>
  <c r="K31" i="18"/>
  <c r="AL31" i="18" s="1"/>
  <c r="J31" i="18"/>
  <c r="I31" i="18"/>
  <c r="BJ29" i="18"/>
  <c r="BD29" i="18"/>
  <c r="AP29" i="18"/>
  <c r="J29" i="18" s="1"/>
  <c r="AO29" i="18"/>
  <c r="I29" i="18" s="1"/>
  <c r="AK29" i="18"/>
  <c r="AJ29" i="18"/>
  <c r="AH29" i="18"/>
  <c r="AG29" i="18"/>
  <c r="AF29" i="18"/>
  <c r="AE29" i="18"/>
  <c r="AD29" i="18"/>
  <c r="Z29" i="18"/>
  <c r="M29" i="18"/>
  <c r="BF29" i="18" s="1"/>
  <c r="K29" i="18"/>
  <c r="AL29" i="18" s="1"/>
  <c r="BJ27" i="18"/>
  <c r="BF27" i="18"/>
  <c r="BD27" i="18"/>
  <c r="AP27" i="18"/>
  <c r="J27" i="18" s="1"/>
  <c r="AO27" i="18"/>
  <c r="BH27" i="18" s="1"/>
  <c r="AB27" i="18" s="1"/>
  <c r="AK27" i="18"/>
  <c r="AJ27" i="18"/>
  <c r="AH27" i="18"/>
  <c r="AG27" i="18"/>
  <c r="AF27" i="18"/>
  <c r="AE27" i="18"/>
  <c r="AD27" i="18"/>
  <c r="Z27" i="18"/>
  <c r="M27" i="18"/>
  <c r="K27" i="18"/>
  <c r="AL27" i="18" s="1"/>
  <c r="BJ25" i="18"/>
  <c r="BF25" i="18"/>
  <c r="BD25" i="18"/>
  <c r="AW25" i="18"/>
  <c r="AP25" i="18"/>
  <c r="J25" i="18" s="1"/>
  <c r="AO25" i="18"/>
  <c r="BH25" i="18" s="1"/>
  <c r="AB25" i="18" s="1"/>
  <c r="AK25" i="18"/>
  <c r="AJ25" i="18"/>
  <c r="AH25" i="18"/>
  <c r="AG25" i="18"/>
  <c r="AF25" i="18"/>
  <c r="AE25" i="18"/>
  <c r="AD25" i="18"/>
  <c r="Z25" i="18"/>
  <c r="M25" i="18"/>
  <c r="K25" i="18"/>
  <c r="AL25" i="18" s="1"/>
  <c r="BJ22" i="18"/>
  <c r="BD22" i="18"/>
  <c r="AP22" i="18"/>
  <c r="J22" i="18" s="1"/>
  <c r="AO22" i="18"/>
  <c r="I22" i="18" s="1"/>
  <c r="AK22" i="18"/>
  <c r="AJ22" i="18"/>
  <c r="AH22" i="18"/>
  <c r="AG22" i="18"/>
  <c r="AF22" i="18"/>
  <c r="AE22" i="18"/>
  <c r="AD22" i="18"/>
  <c r="Z22" i="18"/>
  <c r="M22" i="18"/>
  <c r="BF22" i="18" s="1"/>
  <c r="K22" i="18"/>
  <c r="AL22" i="18" s="1"/>
  <c r="BJ20" i="18"/>
  <c r="BD20" i="18"/>
  <c r="AP20" i="18"/>
  <c r="BI20" i="18" s="1"/>
  <c r="AC20" i="18" s="1"/>
  <c r="AO20" i="18"/>
  <c r="BH20" i="18" s="1"/>
  <c r="AB20" i="18" s="1"/>
  <c r="AK20" i="18"/>
  <c r="AJ20" i="18"/>
  <c r="AH20" i="18"/>
  <c r="AG20" i="18"/>
  <c r="AF20" i="18"/>
  <c r="AE20" i="18"/>
  <c r="AD20" i="18"/>
  <c r="Z20" i="18"/>
  <c r="M20" i="18"/>
  <c r="BF20" i="18" s="1"/>
  <c r="K20" i="18"/>
  <c r="AL20" i="18" s="1"/>
  <c r="BJ18" i="18"/>
  <c r="BH18" i="18"/>
  <c r="AB18" i="18" s="1"/>
  <c r="BF18" i="18"/>
  <c r="BD18" i="18"/>
  <c r="AP18" i="18"/>
  <c r="BI18" i="18" s="1"/>
  <c r="AC18" i="18" s="1"/>
  <c r="AO18" i="18"/>
  <c r="AW18" i="18" s="1"/>
  <c r="AK18" i="18"/>
  <c r="AT17" i="18" s="1"/>
  <c r="AJ18" i="18"/>
  <c r="AH18" i="18"/>
  <c r="AG18" i="18"/>
  <c r="AF18" i="18"/>
  <c r="AE18" i="18"/>
  <c r="AD18" i="18"/>
  <c r="Z18" i="18"/>
  <c r="M18" i="18"/>
  <c r="K18" i="18"/>
  <c r="AL18" i="18" s="1"/>
  <c r="AU17" i="18" s="1"/>
  <c r="BJ15" i="18"/>
  <c r="BF15" i="18"/>
  <c r="BD15" i="18"/>
  <c r="AP15" i="18"/>
  <c r="J15" i="18" s="1"/>
  <c r="AO15" i="18"/>
  <c r="BH15" i="18" s="1"/>
  <c r="AB15" i="18" s="1"/>
  <c r="AK15" i="18"/>
  <c r="AJ15" i="18"/>
  <c r="AS12" i="18" s="1"/>
  <c r="AH15" i="18"/>
  <c r="AG15" i="18"/>
  <c r="AF15" i="18"/>
  <c r="AE15" i="18"/>
  <c r="AD15" i="18"/>
  <c r="Z15" i="18"/>
  <c r="M15" i="18"/>
  <c r="K15" i="18"/>
  <c r="AL15" i="18" s="1"/>
  <c r="BJ13" i="18"/>
  <c r="BI13" i="18"/>
  <c r="AC13" i="18" s="1"/>
  <c r="BF13" i="18"/>
  <c r="BD13" i="18"/>
  <c r="AP13" i="18"/>
  <c r="J13" i="18" s="1"/>
  <c r="AO13" i="18"/>
  <c r="BH13" i="18" s="1"/>
  <c r="AB13" i="18" s="1"/>
  <c r="AK13" i="18"/>
  <c r="AT12" i="18" s="1"/>
  <c r="AJ13" i="18"/>
  <c r="AH13" i="18"/>
  <c r="AG13" i="18"/>
  <c r="AF13" i="18"/>
  <c r="AE13" i="18"/>
  <c r="AD13" i="18"/>
  <c r="Z13" i="18"/>
  <c r="M13" i="18"/>
  <c r="K13" i="18"/>
  <c r="AL13" i="18" s="1"/>
  <c r="I13" i="18"/>
  <c r="M12" i="18"/>
  <c r="AU1" i="18"/>
  <c r="AT1" i="18"/>
  <c r="AS1" i="18"/>
  <c r="F145" i="9"/>
  <c r="AG296" i="19" l="1"/>
  <c r="AC296" i="19"/>
  <c r="AX116" i="18"/>
  <c r="BC273" i="18"/>
  <c r="AX51" i="19"/>
  <c r="AX282" i="19"/>
  <c r="AX320" i="19"/>
  <c r="BC320" i="19" s="1"/>
  <c r="AW20" i="18"/>
  <c r="AW121" i="18"/>
  <c r="BI155" i="18"/>
  <c r="AE155" i="18" s="1"/>
  <c r="K161" i="18"/>
  <c r="AW172" i="18"/>
  <c r="AV172" i="18" s="1"/>
  <c r="AX274" i="18"/>
  <c r="AX281" i="18"/>
  <c r="BC281" i="18" s="1"/>
  <c r="M12" i="19"/>
  <c r="M17" i="19"/>
  <c r="J51" i="19"/>
  <c r="BI71" i="19"/>
  <c r="AC71" i="19" s="1"/>
  <c r="M70" i="19"/>
  <c r="J77" i="19"/>
  <c r="J86" i="19"/>
  <c r="AW94" i="19"/>
  <c r="BC94" i="19" s="1"/>
  <c r="I99" i="19"/>
  <c r="AW99" i="19"/>
  <c r="AV99" i="19" s="1"/>
  <c r="BI110" i="19"/>
  <c r="AC110" i="19" s="1"/>
  <c r="AX113" i="19"/>
  <c r="K146" i="19"/>
  <c r="AV147" i="19"/>
  <c r="I152" i="19"/>
  <c r="I151" i="19" s="1"/>
  <c r="AW152" i="19"/>
  <c r="AV152" i="19" s="1"/>
  <c r="K161" i="19"/>
  <c r="AX167" i="19"/>
  <c r="AX190" i="19"/>
  <c r="AW192" i="19"/>
  <c r="AV200" i="19"/>
  <c r="BI234" i="19"/>
  <c r="AG234" i="19" s="1"/>
  <c r="J277" i="19"/>
  <c r="K298" i="19"/>
  <c r="AC301" i="19"/>
  <c r="AV310" i="19"/>
  <c r="AW344" i="19"/>
  <c r="AX86" i="19"/>
  <c r="I18" i="18"/>
  <c r="I25" i="18"/>
  <c r="BI35" i="18"/>
  <c r="AC35" i="18" s="1"/>
  <c r="BH38" i="18"/>
  <c r="AB38" i="18" s="1"/>
  <c r="AW64" i="18"/>
  <c r="BH88" i="18"/>
  <c r="AB88" i="18" s="1"/>
  <c r="K101" i="18"/>
  <c r="AX121" i="18"/>
  <c r="BI143" i="18"/>
  <c r="AE143" i="18" s="1"/>
  <c r="I164" i="18"/>
  <c r="AW179" i="18"/>
  <c r="BC201" i="18"/>
  <c r="AW202" i="18"/>
  <c r="BI205" i="18"/>
  <c r="AC205" i="18" s="1"/>
  <c r="AV209" i="18"/>
  <c r="J232" i="18"/>
  <c r="AX250" i="18"/>
  <c r="BC250" i="18" s="1"/>
  <c r="J254" i="18"/>
  <c r="J253" i="18" s="1"/>
  <c r="M263" i="18"/>
  <c r="AW267" i="18"/>
  <c r="I279" i="18"/>
  <c r="I281" i="18"/>
  <c r="BH285" i="18"/>
  <c r="AS287" i="18"/>
  <c r="J13" i="19"/>
  <c r="AW73" i="19"/>
  <c r="AW108" i="19"/>
  <c r="I147" i="19"/>
  <c r="AW147" i="19"/>
  <c r="M166" i="19"/>
  <c r="AV176" i="19"/>
  <c r="AC185" i="19"/>
  <c r="J190" i="19"/>
  <c r="J230" i="19"/>
  <c r="BI230" i="19"/>
  <c r="AC230" i="19" s="1"/>
  <c r="BI250" i="19"/>
  <c r="AC250" i="19" s="1"/>
  <c r="AW252" i="19"/>
  <c r="BH272" i="19"/>
  <c r="AX274" i="19"/>
  <c r="BC274" i="19" s="1"/>
  <c r="I296" i="19"/>
  <c r="J320" i="19"/>
  <c r="AX344" i="19"/>
  <c r="I73" i="19"/>
  <c r="AX73" i="19"/>
  <c r="BC73" i="19" s="1"/>
  <c r="I91" i="19"/>
  <c r="I94" i="19"/>
  <c r="BI99" i="19"/>
  <c r="AG99" i="19" s="1"/>
  <c r="J113" i="19"/>
  <c r="BH113" i="19"/>
  <c r="K166" i="19"/>
  <c r="J282" i="19"/>
  <c r="I344" i="19"/>
  <c r="I343" i="19" s="1"/>
  <c r="AX140" i="18"/>
  <c r="I20" i="18"/>
  <c r="BH40" i="18"/>
  <c r="AB40" i="18" s="1"/>
  <c r="I62" i="18"/>
  <c r="BI62" i="18"/>
  <c r="AC62" i="18" s="1"/>
  <c r="J88" i="18"/>
  <c r="M142" i="18"/>
  <c r="AT161" i="18"/>
  <c r="I170" i="18"/>
  <c r="BH170" i="18"/>
  <c r="AD170" i="18" s="1"/>
  <c r="I205" i="18"/>
  <c r="I267" i="18"/>
  <c r="I266" i="18" s="1"/>
  <c r="I273" i="18"/>
  <c r="J20" i="18"/>
  <c r="I38" i="18"/>
  <c r="J40" i="18"/>
  <c r="BI40" i="18"/>
  <c r="AC40" i="18" s="1"/>
  <c r="BH42" i="18"/>
  <c r="AB42" i="18" s="1"/>
  <c r="J62" i="18"/>
  <c r="I92" i="18"/>
  <c r="BH92" i="18"/>
  <c r="AB92" i="18" s="1"/>
  <c r="I102" i="18"/>
  <c r="BH102" i="18"/>
  <c r="AB102" i="18" s="1"/>
  <c r="AS115" i="18"/>
  <c r="J121" i="18"/>
  <c r="J120" i="18" s="1"/>
  <c r="BH121" i="18"/>
  <c r="AB121" i="18" s="1"/>
  <c r="AS123" i="18"/>
  <c r="J143" i="18"/>
  <c r="I147" i="18"/>
  <c r="M161" i="18"/>
  <c r="J170" i="18"/>
  <c r="I175" i="18"/>
  <c r="I179" i="18"/>
  <c r="BI200" i="18"/>
  <c r="AC200" i="18" s="1"/>
  <c r="J205" i="18"/>
  <c r="I206" i="18"/>
  <c r="BH206" i="18"/>
  <c r="AB206" i="18" s="1"/>
  <c r="I221" i="18"/>
  <c r="AS239" i="18"/>
  <c r="BF250" i="18"/>
  <c r="I264" i="18"/>
  <c r="I263" i="18" s="1"/>
  <c r="J273" i="18"/>
  <c r="BC276" i="18"/>
  <c r="AS278" i="18"/>
  <c r="J73" i="19"/>
  <c r="J70" i="19" s="1"/>
  <c r="AB152" i="19"/>
  <c r="M154" i="19"/>
  <c r="BH167" i="19"/>
  <c r="BH183" i="19"/>
  <c r="AB183" i="19" s="1"/>
  <c r="BF200" i="19"/>
  <c r="AD206" i="19"/>
  <c r="AX211" i="19"/>
  <c r="BC211" i="19" s="1"/>
  <c r="I252" i="19"/>
  <c r="AX267" i="19"/>
  <c r="BH285" i="19"/>
  <c r="AB285" i="19" s="1"/>
  <c r="BI299" i="19"/>
  <c r="AC299" i="19" s="1"/>
  <c r="AX314" i="19"/>
  <c r="J344" i="19"/>
  <c r="J343" i="19" s="1"/>
  <c r="BH354" i="19"/>
  <c r="AD354" i="19" s="1"/>
  <c r="J35" i="18"/>
  <c r="BF102" i="18"/>
  <c r="J128" i="18"/>
  <c r="J133" i="18"/>
  <c r="J132" i="18" s="1"/>
  <c r="J140" i="18"/>
  <c r="J139" i="18" s="1"/>
  <c r="J155" i="18"/>
  <c r="K17" i="19"/>
  <c r="BH43" i="19"/>
  <c r="AF43" i="19" s="1"/>
  <c r="AS17" i="18"/>
  <c r="I64" i="18"/>
  <c r="J92" i="18"/>
  <c r="BI92" i="18"/>
  <c r="AC92" i="18" s="1"/>
  <c r="J102" i="18"/>
  <c r="BI102" i="18"/>
  <c r="AC102" i="18" s="1"/>
  <c r="J147" i="18"/>
  <c r="J175" i="18"/>
  <c r="J179" i="18"/>
  <c r="J200" i="18"/>
  <c r="J206" i="18"/>
  <c r="BI215" i="18"/>
  <c r="AC215" i="18" s="1"/>
  <c r="J219" i="18"/>
  <c r="J221" i="18"/>
  <c r="I223" i="18"/>
  <c r="BH223" i="18"/>
  <c r="AB223" i="18" s="1"/>
  <c r="BH250" i="18"/>
  <c r="AB250" i="18" s="1"/>
  <c r="BF288" i="18"/>
  <c r="BI155" i="19"/>
  <c r="AC155" i="19" s="1"/>
  <c r="AX157" i="19"/>
  <c r="AV157" i="19" s="1"/>
  <c r="BI167" i="19"/>
  <c r="AE167" i="19" s="1"/>
  <c r="BI285" i="19"/>
  <c r="BH310" i="19"/>
  <c r="M322" i="19"/>
  <c r="BI354" i="19"/>
  <c r="AC354" i="19" s="1"/>
  <c r="AT174" i="18"/>
  <c r="J116" i="18"/>
  <c r="BH221" i="18"/>
  <c r="AB221" i="18" s="1"/>
  <c r="BH273" i="18"/>
  <c r="AB273" i="18" s="1"/>
  <c r="K278" i="18"/>
  <c r="J281" i="18"/>
  <c r="AT287" i="18"/>
  <c r="AX13" i="18"/>
  <c r="AW67" i="18"/>
  <c r="I115" i="18"/>
  <c r="AV128" i="18"/>
  <c r="AS142" i="18"/>
  <c r="BI182" i="18"/>
  <c r="AC182" i="18" s="1"/>
  <c r="I201" i="18"/>
  <c r="I203" i="18"/>
  <c r="BI209" i="18"/>
  <c r="AC209" i="18" s="1"/>
  <c r="BC227" i="18"/>
  <c r="BI250" i="18"/>
  <c r="AC250" i="18" s="1"/>
  <c r="AT269" i="18"/>
  <c r="J276" i="18"/>
  <c r="J275" i="18" s="1"/>
  <c r="BF276" i="18"/>
  <c r="J283" i="18"/>
  <c r="AL89" i="19"/>
  <c r="I97" i="19"/>
  <c r="I110" i="19"/>
  <c r="J118" i="19"/>
  <c r="BI118" i="19"/>
  <c r="AC118" i="19" s="1"/>
  <c r="AX140" i="19"/>
  <c r="I185" i="19"/>
  <c r="BH203" i="19"/>
  <c r="AB203" i="19" s="1"/>
  <c r="AL230" i="19"/>
  <c r="BH274" i="19"/>
  <c r="AB274" i="19" s="1"/>
  <c r="J298" i="19"/>
  <c r="BI310" i="19"/>
  <c r="I339" i="19"/>
  <c r="AW339" i="19"/>
  <c r="AV339" i="19" s="1"/>
  <c r="BF347" i="19"/>
  <c r="AV360" i="19"/>
  <c r="BI361" i="19"/>
  <c r="AG361" i="19" s="1"/>
  <c r="AG22" i="19"/>
  <c r="AE22" i="19"/>
  <c r="AC22" i="19"/>
  <c r="AF99" i="19"/>
  <c r="AD99" i="19"/>
  <c r="AF192" i="19"/>
  <c r="AD192" i="19"/>
  <c r="AB192" i="19"/>
  <c r="AE108" i="19"/>
  <c r="AG108" i="19"/>
  <c r="AF159" i="19"/>
  <c r="AD159" i="19"/>
  <c r="AB159" i="19"/>
  <c r="AF254" i="19"/>
  <c r="AB254" i="19"/>
  <c r="AD254" i="19"/>
  <c r="AD181" i="19"/>
  <c r="AF181" i="19"/>
  <c r="AF329" i="19"/>
  <c r="AD329" i="19"/>
  <c r="AB329" i="19"/>
  <c r="AB15" i="19"/>
  <c r="AF15" i="19"/>
  <c r="AD15" i="19"/>
  <c r="AE51" i="19"/>
  <c r="AG51" i="19"/>
  <c r="AF73" i="19"/>
  <c r="AD73" i="19"/>
  <c r="AB73" i="19"/>
  <c r="AB291" i="19"/>
  <c r="AF291" i="19"/>
  <c r="AD291" i="19"/>
  <c r="AD46" i="19"/>
  <c r="AF46" i="19"/>
  <c r="AG140" i="19"/>
  <c r="AE140" i="19"/>
  <c r="AC140" i="19"/>
  <c r="AG252" i="19"/>
  <c r="AE252" i="19"/>
  <c r="AC252" i="19"/>
  <c r="AG197" i="19"/>
  <c r="AE197" i="19"/>
  <c r="AC197" i="19"/>
  <c r="AF277" i="19"/>
  <c r="AD277" i="19"/>
  <c r="AB277" i="19"/>
  <c r="AG277" i="19"/>
  <c r="AE277" i="19"/>
  <c r="AC277" i="19"/>
  <c r="AG152" i="19"/>
  <c r="AC152" i="19"/>
  <c r="AE152" i="19"/>
  <c r="AD339" i="19"/>
  <c r="AB339" i="19"/>
  <c r="AF339" i="19"/>
  <c r="AG339" i="19"/>
  <c r="AC339" i="19"/>
  <c r="AE339" i="19"/>
  <c r="AB361" i="19"/>
  <c r="AD361" i="19"/>
  <c r="AF361" i="19"/>
  <c r="I43" i="19"/>
  <c r="BI43" i="19"/>
  <c r="AG43" i="19" s="1"/>
  <c r="AG71" i="19"/>
  <c r="AK75" i="19"/>
  <c r="BH86" i="19"/>
  <c r="AF86" i="19" s="1"/>
  <c r="J94" i="19"/>
  <c r="AH102" i="19"/>
  <c r="BH136" i="19"/>
  <c r="AB136" i="19" s="1"/>
  <c r="AK142" i="19"/>
  <c r="I155" i="19"/>
  <c r="BH155" i="19"/>
  <c r="AH162" i="19"/>
  <c r="BC185" i="19"/>
  <c r="K187" i="19"/>
  <c r="J203" i="19"/>
  <c r="I246" i="19"/>
  <c r="I248" i="19"/>
  <c r="BH248" i="19"/>
  <c r="AH254" i="19"/>
  <c r="AD360" i="19"/>
  <c r="AW13" i="19"/>
  <c r="AV13" i="19" s="1"/>
  <c r="J43" i="19"/>
  <c r="AW46" i="19"/>
  <c r="BC46" i="19" s="1"/>
  <c r="J62" i="19"/>
  <c r="BH62" i="19"/>
  <c r="AH71" i="19"/>
  <c r="I86" i="19"/>
  <c r="J91" i="19"/>
  <c r="BI94" i="19"/>
  <c r="AC94" i="19" s="1"/>
  <c r="AJ102" i="19"/>
  <c r="AX108" i="19"/>
  <c r="AJ110" i="19"/>
  <c r="J136" i="19"/>
  <c r="AW159" i="19"/>
  <c r="AH181" i="19"/>
  <c r="Z192" i="19"/>
  <c r="J234" i="19"/>
  <c r="AX252" i="19"/>
  <c r="BC252" i="19" s="1"/>
  <c r="AW291" i="19"/>
  <c r="BH296" i="19"/>
  <c r="AH339" i="19"/>
  <c r="AW350" i="19"/>
  <c r="BC350" i="19" s="1"/>
  <c r="J22" i="19"/>
  <c r="J17" i="19" s="1"/>
  <c r="AX22" i="19"/>
  <c r="BC22" i="19" s="1"/>
  <c r="I46" i="19"/>
  <c r="AC73" i="19"/>
  <c r="AL102" i="19"/>
  <c r="AU88" i="19" s="1"/>
  <c r="I140" i="19"/>
  <c r="AW140" i="19"/>
  <c r="I176" i="19"/>
  <c r="I166" i="19" s="1"/>
  <c r="AJ188" i="19"/>
  <c r="Z194" i="19"/>
  <c r="J197" i="19"/>
  <c r="J196" i="19" s="1"/>
  <c r="AX197" i="19"/>
  <c r="AV197" i="19" s="1"/>
  <c r="AH200" i="19"/>
  <c r="AJ226" i="19"/>
  <c r="J252" i="19"/>
  <c r="K12" i="19"/>
  <c r="AJ15" i="19"/>
  <c r="AE18" i="19"/>
  <c r="J46" i="19"/>
  <c r="AF53" i="19"/>
  <c r="I64" i="19"/>
  <c r="AJ118" i="19"/>
  <c r="K151" i="19"/>
  <c r="AK152" i="19"/>
  <c r="AT151" i="19" s="1"/>
  <c r="Z155" i="19"/>
  <c r="I159" i="19"/>
  <c r="AX162" i="19"/>
  <c r="AV162" i="19" s="1"/>
  <c r="AJ167" i="19"/>
  <c r="BH176" i="19"/>
  <c r="AB176" i="19" s="1"/>
  <c r="AD183" i="19"/>
  <c r="AK188" i="19"/>
  <c r="AJ200" i="19"/>
  <c r="AE230" i="19"/>
  <c r="Z246" i="19"/>
  <c r="Z248" i="19"/>
  <c r="AL267" i="19"/>
  <c r="AH274" i="19"/>
  <c r="AW277" i="19"/>
  <c r="BC277" i="19" s="1"/>
  <c r="I291" i="19"/>
  <c r="BH304" i="19"/>
  <c r="AF304" i="19" s="1"/>
  <c r="AX306" i="19"/>
  <c r="AV306" i="19" s="1"/>
  <c r="AJ316" i="19"/>
  <c r="AH318" i="19"/>
  <c r="K338" i="19"/>
  <c r="BI350" i="19"/>
  <c r="AV296" i="19"/>
  <c r="AK15" i="19"/>
  <c r="AG18" i="19"/>
  <c r="AH43" i="19"/>
  <c r="AW51" i="19"/>
  <c r="BC51" i="19" s="1"/>
  <c r="AE73" i="19"/>
  <c r="AJ91" i="19"/>
  <c r="AH94" i="19"/>
  <c r="I108" i="19"/>
  <c r="AK118" i="19"/>
  <c r="Z136" i="19"/>
  <c r="AE155" i="19"/>
  <c r="K154" i="19"/>
  <c r="AK167" i="19"/>
  <c r="BI176" i="19"/>
  <c r="BH179" i="19"/>
  <c r="AF183" i="19"/>
  <c r="AV188" i="19"/>
  <c r="AK200" i="19"/>
  <c r="AD203" i="19"/>
  <c r="AC211" i="19"/>
  <c r="AG230" i="19"/>
  <c r="AE234" i="19"/>
  <c r="AJ246" i="19"/>
  <c r="AW254" i="19"/>
  <c r="AK274" i="19"/>
  <c r="AX277" i="19"/>
  <c r="J291" i="19"/>
  <c r="AE296" i="19"/>
  <c r="AE301" i="19"/>
  <c r="J304" i="19"/>
  <c r="AK316" i="19"/>
  <c r="AJ318" i="19"/>
  <c r="AD320" i="19"/>
  <c r="I329" i="19"/>
  <c r="AC344" i="19"/>
  <c r="BH352" i="19"/>
  <c r="AH360" i="19"/>
  <c r="I361" i="19"/>
  <c r="AJ362" i="19"/>
  <c r="BH13" i="19"/>
  <c r="AJ43" i="19"/>
  <c r="Z89" i="19"/>
  <c r="J108" i="19"/>
  <c r="AJ192" i="19"/>
  <c r="AJ234" i="19"/>
  <c r="Z238" i="19"/>
  <c r="AK246" i="19"/>
  <c r="AJ248" i="19"/>
  <c r="Z250" i="19"/>
  <c r="Z261" i="19"/>
  <c r="AX269" i="19"/>
  <c r="AV274" i="19"/>
  <c r="J306" i="19"/>
  <c r="AH310" i="19"/>
  <c r="AK318" i="19"/>
  <c r="BH323" i="19"/>
  <c r="AE344" i="19"/>
  <c r="BH347" i="19"/>
  <c r="AF347" i="19" s="1"/>
  <c r="I352" i="19"/>
  <c r="BI352" i="19"/>
  <c r="AE356" i="19"/>
  <c r="J359" i="19"/>
  <c r="BH359" i="19"/>
  <c r="AK362" i="19"/>
  <c r="AU12" i="19"/>
  <c r="J12" i="19"/>
  <c r="AK43" i="19"/>
  <c r="AH62" i="19"/>
  <c r="AJ86" i="19"/>
  <c r="Z97" i="19"/>
  <c r="AB147" i="19"/>
  <c r="Z157" i="19"/>
  <c r="BH162" i="19"/>
  <c r="I179" i="19"/>
  <c r="AE185" i="19"/>
  <c r="AB206" i="19"/>
  <c r="AJ211" i="19"/>
  <c r="AJ230" i="19"/>
  <c r="AK234" i="19"/>
  <c r="AB238" i="19"/>
  <c r="Z240" i="19"/>
  <c r="AL248" i="19"/>
  <c r="I254" i="19"/>
  <c r="AH285" i="19"/>
  <c r="AH288" i="19"/>
  <c r="I299" i="19"/>
  <c r="AJ301" i="19"/>
  <c r="AS298" i="19" s="1"/>
  <c r="AJ310" i="19"/>
  <c r="Z312" i="19"/>
  <c r="AF320" i="19"/>
  <c r="I323" i="19"/>
  <c r="I322" i="19" s="1"/>
  <c r="BI323" i="19"/>
  <c r="AG323" i="19" s="1"/>
  <c r="K358" i="19"/>
  <c r="BI359" i="19"/>
  <c r="AW361" i="19"/>
  <c r="I15" i="19"/>
  <c r="I12" i="19" s="1"/>
  <c r="AW15" i="19"/>
  <c r="AK36" i="19"/>
  <c r="AG46" i="19"/>
  <c r="I51" i="19"/>
  <c r="AB64" i="19"/>
  <c r="K70" i="19"/>
  <c r="AJ73" i="19"/>
  <c r="AS70" i="19" s="1"/>
  <c r="AE99" i="19"/>
  <c r="AW118" i="19"/>
  <c r="AV118" i="19" s="1"/>
  <c r="J152" i="19"/>
  <c r="J151" i="19" s="1"/>
  <c r="AX152" i="19"/>
  <c r="AW167" i="19"/>
  <c r="I200" i="19"/>
  <c r="AK211" i="19"/>
  <c r="AK301" i="19"/>
  <c r="BH306" i="19"/>
  <c r="AJ344" i="19"/>
  <c r="AS343" i="19" s="1"/>
  <c r="J347" i="19"/>
  <c r="J346" i="19" s="1"/>
  <c r="I350" i="19"/>
  <c r="I349" i="19" s="1"/>
  <c r="AJ356" i="19"/>
  <c r="I49" i="19"/>
  <c r="I48" i="19" s="1"/>
  <c r="AD64" i="19"/>
  <c r="AK73" i="19"/>
  <c r="AF140" i="19"/>
  <c r="J181" i="19"/>
  <c r="AX183" i="19"/>
  <c r="AV183" i="19" s="1"/>
  <c r="AK320" i="19"/>
  <c r="J326" i="19"/>
  <c r="J325" i="19" s="1"/>
  <c r="AK344" i="19"/>
  <c r="AT343" i="19" s="1"/>
  <c r="J350" i="19"/>
  <c r="AK356" i="19"/>
  <c r="AX18" i="19"/>
  <c r="AV18" i="19" s="1"/>
  <c r="AK22" i="19"/>
  <c r="Z26" i="19"/>
  <c r="AJ46" i="19"/>
  <c r="J49" i="19"/>
  <c r="AW62" i="19"/>
  <c r="BI91" i="19"/>
  <c r="AG91" i="19" s="1"/>
  <c r="AH108" i="19"/>
  <c r="AX136" i="19"/>
  <c r="AV136" i="19" s="1"/>
  <c r="AJ140" i="19"/>
  <c r="AJ147" i="19"/>
  <c r="BI188" i="19"/>
  <c r="AK197" i="19"/>
  <c r="AT196" i="19" s="1"/>
  <c r="BH200" i="19"/>
  <c r="AX203" i="19"/>
  <c r="BC203" i="19" s="1"/>
  <c r="AJ206" i="19"/>
  <c r="I226" i="19"/>
  <c r="AW246" i="19"/>
  <c r="AK252" i="19"/>
  <c r="J272" i="19"/>
  <c r="BI272" i="19"/>
  <c r="AH291" i="19"/>
  <c r="I310" i="19"/>
  <c r="AK312" i="19"/>
  <c r="BI316" i="19"/>
  <c r="Z336" i="19"/>
  <c r="K343" i="19"/>
  <c r="K349" i="19"/>
  <c r="J360" i="19"/>
  <c r="AH13" i="19"/>
  <c r="K48" i="19"/>
  <c r="AX62" i="19"/>
  <c r="I113" i="19"/>
  <c r="I118" i="19"/>
  <c r="AW157" i="19"/>
  <c r="AJ159" i="19"/>
  <c r="AJ176" i="19"/>
  <c r="AH179" i="19"/>
  <c r="BI181" i="19"/>
  <c r="AC181" i="19" s="1"/>
  <c r="I192" i="19"/>
  <c r="K196" i="19"/>
  <c r="BI200" i="19"/>
  <c r="AV211" i="19"/>
  <c r="I230" i="19"/>
  <c r="AK291" i="19"/>
  <c r="I301" i="19"/>
  <c r="AW301" i="19"/>
  <c r="AV301" i="19" s="1"/>
  <c r="AK304" i="19"/>
  <c r="BH318" i="19"/>
  <c r="AF318" i="19" s="1"/>
  <c r="AH347" i="19"/>
  <c r="AH359" i="19"/>
  <c r="AC361" i="19"/>
  <c r="AX20" i="18"/>
  <c r="BC20" i="18" s="1"/>
  <c r="BI25" i="18"/>
  <c r="AC25" i="18" s="1"/>
  <c r="BC35" i="18"/>
  <c r="BI38" i="18"/>
  <c r="AC38" i="18" s="1"/>
  <c r="AX42" i="18"/>
  <c r="BH44" i="18"/>
  <c r="AB44" i="18" s="1"/>
  <c r="BH50" i="18"/>
  <c r="AB50" i="18" s="1"/>
  <c r="BI73" i="18"/>
  <c r="AC73" i="18" s="1"/>
  <c r="BI88" i="18"/>
  <c r="AC88" i="18" s="1"/>
  <c r="AX104" i="18"/>
  <c r="AL136" i="18"/>
  <c r="AU135" i="18" s="1"/>
  <c r="AW140" i="18"/>
  <c r="J153" i="18"/>
  <c r="AX170" i="18"/>
  <c r="K174" i="18"/>
  <c r="AX187" i="18"/>
  <c r="BI188" i="18"/>
  <c r="AC188" i="18" s="1"/>
  <c r="I200" i="18"/>
  <c r="BH202" i="18"/>
  <c r="AB202" i="18" s="1"/>
  <c r="BH225" i="18"/>
  <c r="AB225" i="18" s="1"/>
  <c r="K239" i="18"/>
  <c r="AW35" i="18"/>
  <c r="AU52" i="18"/>
  <c r="BH62" i="18"/>
  <c r="AB62" i="18" s="1"/>
  <c r="BH106" i="18"/>
  <c r="AB106" i="18" s="1"/>
  <c r="BC121" i="18"/>
  <c r="I123" i="18"/>
  <c r="AS161" i="18"/>
  <c r="BI225" i="18"/>
  <c r="AC225" i="18" s="1"/>
  <c r="I17" i="18"/>
  <c r="I40" i="18"/>
  <c r="AW94" i="18"/>
  <c r="AS181" i="18"/>
  <c r="BI201" i="18"/>
  <c r="AC201" i="18" s="1"/>
  <c r="I211" i="18"/>
  <c r="AW240" i="18"/>
  <c r="I27" i="18"/>
  <c r="AW27" i="18"/>
  <c r="K52" i="18"/>
  <c r="J101" i="18"/>
  <c r="AW147" i="18"/>
  <c r="AT142" i="18"/>
  <c r="AW162" i="18"/>
  <c r="AX175" i="18"/>
  <c r="AT181" i="18"/>
  <c r="AW189" i="18"/>
  <c r="AW200" i="18"/>
  <c r="BC200" i="18" s="1"/>
  <c r="BH209" i="18"/>
  <c r="AB209" i="18" s="1"/>
  <c r="AW211" i="18"/>
  <c r="AX240" i="18"/>
  <c r="I35" i="18"/>
  <c r="J201" i="18"/>
  <c r="J18" i="18"/>
  <c r="J17" i="18" s="1"/>
  <c r="K12" i="18"/>
  <c r="I15" i="18"/>
  <c r="I12" i="18" s="1"/>
  <c r="BC33" i="18"/>
  <c r="BI42" i="18"/>
  <c r="AC42" i="18" s="1"/>
  <c r="J48" i="18"/>
  <c r="BI84" i="18"/>
  <c r="AC84" i="18" s="1"/>
  <c r="AW99" i="18"/>
  <c r="BI104" i="18"/>
  <c r="AC104" i="18" s="1"/>
  <c r="K115" i="18"/>
  <c r="BI128" i="18"/>
  <c r="AC128" i="18" s="1"/>
  <c r="AX147" i="18"/>
  <c r="AX162" i="18"/>
  <c r="BI187" i="18"/>
  <c r="AC187" i="18" s="1"/>
  <c r="AX189" i="18"/>
  <c r="AW203" i="18"/>
  <c r="K216" i="18"/>
  <c r="AS216" i="18"/>
  <c r="BI31" i="18"/>
  <c r="AC31" i="18" s="1"/>
  <c r="AW15" i="18"/>
  <c r="AS37" i="18"/>
  <c r="AT52" i="18"/>
  <c r="BH94" i="18"/>
  <c r="AB94" i="18" s="1"/>
  <c r="AX99" i="18"/>
  <c r="I172" i="18"/>
  <c r="BH175" i="18"/>
  <c r="AD175" i="18" s="1"/>
  <c r="I199" i="18"/>
  <c r="J202" i="18"/>
  <c r="BI223" i="18"/>
  <c r="AC223" i="18" s="1"/>
  <c r="K234" i="18"/>
  <c r="AX18" i="18"/>
  <c r="AT37" i="18"/>
  <c r="J44" i="18"/>
  <c r="I56" i="18"/>
  <c r="I52" i="18" s="1"/>
  <c r="BI59" i="18"/>
  <c r="AC59" i="18" s="1"/>
  <c r="AV64" i="18"/>
  <c r="BH75" i="18"/>
  <c r="AB75" i="18" s="1"/>
  <c r="K120" i="18"/>
  <c r="K139" i="18"/>
  <c r="I143" i="18"/>
  <c r="J172" i="18"/>
  <c r="I188" i="18"/>
  <c r="J199" i="18"/>
  <c r="BH240" i="18"/>
  <c r="AB240" i="18" s="1"/>
  <c r="K24" i="18"/>
  <c r="AT77" i="18"/>
  <c r="K110" i="18"/>
  <c r="BC172" i="18"/>
  <c r="J188" i="18"/>
  <c r="AV225" i="18"/>
  <c r="BI240" i="18"/>
  <c r="AC240" i="18" s="1"/>
  <c r="AV25" i="18"/>
  <c r="J38" i="18"/>
  <c r="AT110" i="18"/>
  <c r="BC124" i="18"/>
  <c r="I150" i="18"/>
  <c r="BC188" i="18"/>
  <c r="K17" i="18"/>
  <c r="AX25" i="18"/>
  <c r="AT24" i="18"/>
  <c r="K37" i="18"/>
  <c r="AW44" i="18"/>
  <c r="BC62" i="18"/>
  <c r="BI99" i="18"/>
  <c r="AC99" i="18" s="1"/>
  <c r="BH133" i="18"/>
  <c r="AB133" i="18" s="1"/>
  <c r="BC143" i="18"/>
  <c r="AW150" i="18"/>
  <c r="K158" i="18"/>
  <c r="J174" i="18"/>
  <c r="BH199" i="18"/>
  <c r="AB199" i="18" s="1"/>
  <c r="AX202" i="18"/>
  <c r="BI206" i="18"/>
  <c r="AC206" i="18" s="1"/>
  <c r="AX210" i="18"/>
  <c r="AV210" i="18" s="1"/>
  <c r="AT239" i="18"/>
  <c r="AS24" i="18"/>
  <c r="AW13" i="18"/>
  <c r="AV13" i="18" s="1"/>
  <c r="AX44" i="18"/>
  <c r="BI56" i="18"/>
  <c r="AC56" i="18" s="1"/>
  <c r="K77" i="18"/>
  <c r="AS77" i="18"/>
  <c r="K98" i="18"/>
  <c r="AW106" i="18"/>
  <c r="AU115" i="18"/>
  <c r="AW116" i="18"/>
  <c r="AV116" i="18" s="1"/>
  <c r="BI133" i="18"/>
  <c r="AC133" i="18" s="1"/>
  <c r="BI172" i="18"/>
  <c r="AE172" i="18" s="1"/>
  <c r="AW190" i="18"/>
  <c r="BI199" i="18"/>
  <c r="AC199" i="18" s="1"/>
  <c r="BI221" i="18"/>
  <c r="AC221" i="18" s="1"/>
  <c r="K249" i="18"/>
  <c r="AV250" i="18"/>
  <c r="AX254" i="18"/>
  <c r="I250" i="18"/>
  <c r="I249" i="18" s="1"/>
  <c r="K246" i="18"/>
  <c r="BH254" i="18"/>
  <c r="AB254" i="18" s="1"/>
  <c r="J261" i="18"/>
  <c r="J260" i="18" s="1"/>
  <c r="AX267" i="18"/>
  <c r="J274" i="18"/>
  <c r="J269" i="18" s="1"/>
  <c r="K263" i="18"/>
  <c r="BI267" i="18"/>
  <c r="I270" i="18"/>
  <c r="I269" i="18" s="1"/>
  <c r="BI273" i="18"/>
  <c r="AC273" i="18" s="1"/>
  <c r="BH274" i="18"/>
  <c r="AB274" i="18" s="1"/>
  <c r="AW290" i="18"/>
  <c r="AX289" i="18"/>
  <c r="AV289" i="18" s="1"/>
  <c r="AX290" i="18"/>
  <c r="I278" i="18"/>
  <c r="AT278" i="18"/>
  <c r="BH281" i="18"/>
  <c r="J285" i="18"/>
  <c r="J279" i="18"/>
  <c r="BH289" i="18"/>
  <c r="AB289" i="18" s="1"/>
  <c r="BH290" i="18"/>
  <c r="AB290" i="18" s="1"/>
  <c r="K287" i="18"/>
  <c r="BI290" i="18"/>
  <c r="AC290" i="18" s="1"/>
  <c r="BI279" i="18"/>
  <c r="AW274" i="18"/>
  <c r="AV274" i="18" s="1"/>
  <c r="AV283" i="18"/>
  <c r="AG13" i="19"/>
  <c r="AE13" i="19"/>
  <c r="AC13" i="19"/>
  <c r="AF49" i="19"/>
  <c r="AD49" i="19"/>
  <c r="AB49" i="19"/>
  <c r="BC99" i="19"/>
  <c r="AV71" i="19"/>
  <c r="BC71" i="19"/>
  <c r="AF91" i="19"/>
  <c r="AD91" i="19"/>
  <c r="AB91" i="19"/>
  <c r="AB22" i="19"/>
  <c r="AF22" i="19"/>
  <c r="AD22" i="19"/>
  <c r="BC43" i="19"/>
  <c r="AV43" i="19"/>
  <c r="AV53" i="19"/>
  <c r="BC53" i="19"/>
  <c r="AC62" i="19"/>
  <c r="AG62" i="19"/>
  <c r="AE62" i="19"/>
  <c r="BC86" i="19"/>
  <c r="AV86" i="19"/>
  <c r="AG77" i="19"/>
  <c r="AE77" i="19"/>
  <c r="AC77" i="19"/>
  <c r="AG36" i="19"/>
  <c r="AE36" i="19"/>
  <c r="AC36" i="19"/>
  <c r="AL49" i="19"/>
  <c r="AU48" i="19" s="1"/>
  <c r="BC62" i="19"/>
  <c r="BC108" i="19"/>
  <c r="AV108" i="19"/>
  <c r="BC147" i="19"/>
  <c r="J149" i="19"/>
  <c r="BI149" i="19"/>
  <c r="AX149" i="19"/>
  <c r="J159" i="19"/>
  <c r="BI159" i="19"/>
  <c r="J218" i="19"/>
  <c r="BI218" i="19"/>
  <c r="AX218" i="19"/>
  <c r="AD155" i="19"/>
  <c r="AB155" i="19"/>
  <c r="I149" i="19"/>
  <c r="BH149" i="19"/>
  <c r="AW149" i="19"/>
  <c r="J192" i="19"/>
  <c r="BI192" i="19"/>
  <c r="AX192" i="19"/>
  <c r="AV192" i="19" s="1"/>
  <c r="AG226" i="19"/>
  <c r="AE226" i="19"/>
  <c r="AC226" i="19"/>
  <c r="AX15" i="19"/>
  <c r="AW26" i="19"/>
  <c r="Z36" i="19"/>
  <c r="AK51" i="19"/>
  <c r="AX64" i="19"/>
  <c r="AV64" i="19" s="1"/>
  <c r="AW75" i="19"/>
  <c r="Z77" i="19"/>
  <c r="AK94" i="19"/>
  <c r="BI97" i="19"/>
  <c r="Z104" i="19"/>
  <c r="AG110" i="19"/>
  <c r="AF113" i="19"/>
  <c r="AD113" i="19"/>
  <c r="AB113" i="19"/>
  <c r="AD136" i="19"/>
  <c r="AU146" i="19"/>
  <c r="AF155" i="19"/>
  <c r="I240" i="19"/>
  <c r="BH240" i="19"/>
  <c r="AW240" i="19"/>
  <c r="AJ314" i="19"/>
  <c r="AL314" i="19"/>
  <c r="AK314" i="19"/>
  <c r="AH222" i="19"/>
  <c r="Z222" i="19"/>
  <c r="BH18" i="19"/>
  <c r="AX26" i="19"/>
  <c r="Z49" i="19"/>
  <c r="BI53" i="19"/>
  <c r="BH71" i="19"/>
  <c r="AX75" i="19"/>
  <c r="AW89" i="19"/>
  <c r="Z91" i="19"/>
  <c r="J102" i="19"/>
  <c r="AX102" i="19"/>
  <c r="AG113" i="19"/>
  <c r="AE113" i="19"/>
  <c r="AC113" i="19"/>
  <c r="AF179" i="19"/>
  <c r="AD179" i="19"/>
  <c r="AB179" i="19"/>
  <c r="BC200" i="19"/>
  <c r="AK208" i="19"/>
  <c r="AJ208" i="19"/>
  <c r="J240" i="19"/>
  <c r="BI240" i="19"/>
  <c r="AX240" i="19"/>
  <c r="I267" i="19"/>
  <c r="BH267" i="19"/>
  <c r="AW267" i="19"/>
  <c r="AL36" i="19"/>
  <c r="AU17" i="19" s="1"/>
  <c r="I18" i="19"/>
  <c r="AW36" i="19"/>
  <c r="J53" i="19"/>
  <c r="I71" i="19"/>
  <c r="AW77" i="19"/>
  <c r="K88" i="19"/>
  <c r="AX89" i="19"/>
  <c r="J97" i="19"/>
  <c r="AJ104" i="19"/>
  <c r="K112" i="19"/>
  <c r="BC118" i="19"/>
  <c r="AF136" i="19"/>
  <c r="AK144" i="19"/>
  <c r="AX159" i="19"/>
  <c r="AV159" i="19" s="1"/>
  <c r="AG179" i="19"/>
  <c r="AE179" i="19"/>
  <c r="AC179" i="19"/>
  <c r="AG203" i="19"/>
  <c r="AE203" i="19"/>
  <c r="AF226" i="19"/>
  <c r="AD226" i="19"/>
  <c r="AB226" i="19"/>
  <c r="AH258" i="19"/>
  <c r="Z258" i="19"/>
  <c r="AJ13" i="19"/>
  <c r="AK18" i="19"/>
  <c r="AH22" i="19"/>
  <c r="AX36" i="19"/>
  <c r="AB43" i="19"/>
  <c r="AC49" i="19"/>
  <c r="AW49" i="19"/>
  <c r="AJ62" i="19"/>
  <c r="AS48" i="19" s="1"/>
  <c r="AK71" i="19"/>
  <c r="AH73" i="19"/>
  <c r="AX77" i="19"/>
  <c r="M88" i="19"/>
  <c r="AW91" i="19"/>
  <c r="J99" i="19"/>
  <c r="AW102" i="19"/>
  <c r="AK104" i="19"/>
  <c r="AC108" i="19"/>
  <c r="AF108" i="19"/>
  <c r="AD108" i="19"/>
  <c r="AB108" i="19"/>
  <c r="AV110" i="19"/>
  <c r="BF113" i="19"/>
  <c r="M112" i="19"/>
  <c r="AG136" i="19"/>
  <c r="AL144" i="19"/>
  <c r="BC181" i="19"/>
  <c r="AF197" i="19"/>
  <c r="AD197" i="19"/>
  <c r="AV203" i="19"/>
  <c r="AJ222" i="19"/>
  <c r="K210" i="19"/>
  <c r="AL258" i="19"/>
  <c r="AK258" i="19"/>
  <c r="AJ258" i="19"/>
  <c r="M303" i="19"/>
  <c r="AG104" i="19"/>
  <c r="AC104" i="19"/>
  <c r="J254" i="19"/>
  <c r="BI254" i="19"/>
  <c r="AX254" i="19"/>
  <c r="BC254" i="19" s="1"/>
  <c r="AK13" i="19"/>
  <c r="AT12" i="19" s="1"/>
  <c r="BF26" i="19"/>
  <c r="AC43" i="19"/>
  <c r="AB51" i="19"/>
  <c r="AV51" i="19"/>
  <c r="AK62" i="19"/>
  <c r="BF75" i="19"/>
  <c r="AC86" i="19"/>
  <c r="AB94" i="19"/>
  <c r="AH113" i="19"/>
  <c r="I142" i="19"/>
  <c r="BH142" i="19"/>
  <c r="I144" i="19"/>
  <c r="BH144" i="19"/>
  <c r="AW144" i="19"/>
  <c r="AK149" i="19"/>
  <c r="AJ149" i="19"/>
  <c r="AV155" i="19"/>
  <c r="J178" i="19"/>
  <c r="AK194" i="19"/>
  <c r="AJ194" i="19"/>
  <c r="AD347" i="19"/>
  <c r="AB347" i="19"/>
  <c r="AF185" i="19"/>
  <c r="AD185" i="19"/>
  <c r="AC291" i="19"/>
  <c r="AG291" i="19"/>
  <c r="AE291" i="19"/>
  <c r="AE110" i="19"/>
  <c r="BI15" i="19"/>
  <c r="BH26" i="19"/>
  <c r="AD43" i="19"/>
  <c r="AB46" i="19"/>
  <c r="AE49" i="19"/>
  <c r="AC51" i="19"/>
  <c r="BI64" i="19"/>
  <c r="BH75" i="19"/>
  <c r="AD86" i="19"/>
  <c r="AE91" i="19"/>
  <c r="BH104" i="19"/>
  <c r="AW104" i="19"/>
  <c r="AD118" i="19"/>
  <c r="AB118" i="19"/>
  <c r="AB140" i="19"/>
  <c r="J142" i="19"/>
  <c r="J112" i="19" s="1"/>
  <c r="BI142" i="19"/>
  <c r="AX142" i="19"/>
  <c r="BI144" i="19"/>
  <c r="AX144" i="19"/>
  <c r="BF149" i="19"/>
  <c r="M146" i="19"/>
  <c r="AL208" i="19"/>
  <c r="BF218" i="19"/>
  <c r="M210" i="19"/>
  <c r="AK222" i="19"/>
  <c r="BC226" i="19"/>
  <c r="AV226" i="19"/>
  <c r="I261" i="19"/>
  <c r="BH261" i="19"/>
  <c r="AW261" i="19"/>
  <c r="J147" i="19"/>
  <c r="J146" i="19" s="1"/>
  <c r="BI147" i="19"/>
  <c r="BC179" i="19"/>
  <c r="AV179" i="19"/>
  <c r="I194" i="19"/>
  <c r="BH194" i="19"/>
  <c r="AW194" i="19"/>
  <c r="BH234" i="19"/>
  <c r="AW234" i="19"/>
  <c r="BI26" i="19"/>
  <c r="AE43" i="19"/>
  <c r="AC46" i="19"/>
  <c r="AD51" i="19"/>
  <c r="AB53" i="19"/>
  <c r="BI75" i="19"/>
  <c r="AE86" i="19"/>
  <c r="BH89" i="19"/>
  <c r="AD94" i="19"/>
  <c r="AB97" i="19"/>
  <c r="BI102" i="19"/>
  <c r="AJ108" i="19"/>
  <c r="AK113" i="19"/>
  <c r="AE118" i="19"/>
  <c r="BC155" i="19"/>
  <c r="AF167" i="19"/>
  <c r="AD167" i="19"/>
  <c r="AB167" i="19"/>
  <c r="J206" i="19"/>
  <c r="BI206" i="19"/>
  <c r="AX206" i="19"/>
  <c r="AV206" i="19" s="1"/>
  <c r="I208" i="19"/>
  <c r="BH208" i="19"/>
  <c r="AW208" i="19"/>
  <c r="AL222" i="19"/>
  <c r="J261" i="19"/>
  <c r="BI261" i="19"/>
  <c r="AX261" i="19"/>
  <c r="AJ326" i="19"/>
  <c r="AS325" i="19" s="1"/>
  <c r="K325" i="19"/>
  <c r="AL326" i="19"/>
  <c r="AU325" i="19" s="1"/>
  <c r="AK326" i="19"/>
  <c r="AT325" i="19" s="1"/>
  <c r="I218" i="19"/>
  <c r="BH218" i="19"/>
  <c r="AW218" i="19"/>
  <c r="AD288" i="19"/>
  <c r="AB288" i="19"/>
  <c r="AF288" i="19"/>
  <c r="AK26" i="19"/>
  <c r="BH36" i="19"/>
  <c r="BH77" i="19"/>
  <c r="AJ89" i="19"/>
  <c r="BI89" i="19"/>
  <c r="AW97" i="19"/>
  <c r="AB99" i="19"/>
  <c r="AF102" i="19"/>
  <c r="AK108" i="19"/>
  <c r="AL113" i="19"/>
  <c r="AU112" i="19" s="1"/>
  <c r="AF118" i="19"/>
  <c r="AW142" i="19"/>
  <c r="AS146" i="19"/>
  <c r="BC183" i="19"/>
  <c r="BC188" i="19"/>
  <c r="AG190" i="19"/>
  <c r="AE190" i="19"/>
  <c r="Z272" i="19"/>
  <c r="AH272" i="19"/>
  <c r="BF326" i="19"/>
  <c r="M325" i="19"/>
  <c r="AB344" i="19"/>
  <c r="AF344" i="19"/>
  <c r="AD344" i="19"/>
  <c r="AL77" i="19"/>
  <c r="AU70" i="19" s="1"/>
  <c r="AC99" i="19"/>
  <c r="I104" i="19"/>
  <c r="I88" i="19" s="1"/>
  <c r="AD110" i="19"/>
  <c r="AB110" i="19"/>
  <c r="BC113" i="19"/>
  <c r="AV113" i="19"/>
  <c r="AG118" i="19"/>
  <c r="BC136" i="19"/>
  <c r="AG157" i="19"/>
  <c r="AE157" i="19"/>
  <c r="BC162" i="19"/>
  <c r="BC176" i="19"/>
  <c r="AV190" i="19"/>
  <c r="BC190" i="19"/>
  <c r="AL194" i="19"/>
  <c r="K199" i="19"/>
  <c r="AG222" i="19"/>
  <c r="AE222" i="19"/>
  <c r="AC222" i="19"/>
  <c r="AK179" i="19"/>
  <c r="AK226" i="19"/>
  <c r="AT210" i="19" s="1"/>
  <c r="AV254" i="19"/>
  <c r="AG267" i="19"/>
  <c r="AE267" i="19"/>
  <c r="AC267" i="19"/>
  <c r="K303" i="19"/>
  <c r="BF341" i="19"/>
  <c r="M338" i="19"/>
  <c r="AG350" i="19"/>
  <c r="AE350" i="19"/>
  <c r="AC350" i="19"/>
  <c r="AL179" i="19"/>
  <c r="AU178" i="19" s="1"/>
  <c r="AF246" i="19"/>
  <c r="AD246" i="19"/>
  <c r="AB246" i="19"/>
  <c r="BC269" i="19"/>
  <c r="AV269" i="19"/>
  <c r="AH350" i="19"/>
  <c r="Z350" i="19"/>
  <c r="AF352" i="19"/>
  <c r="AD352" i="19"/>
  <c r="AB352" i="19"/>
  <c r="BC359" i="19"/>
  <c r="AV359" i="19"/>
  <c r="AL167" i="19"/>
  <c r="AU166" i="19" s="1"/>
  <c r="AB252" i="19"/>
  <c r="AF252" i="19"/>
  <c r="I256" i="19"/>
  <c r="BH256" i="19"/>
  <c r="AD274" i="19"/>
  <c r="AK282" i="19"/>
  <c r="BC323" i="19"/>
  <c r="AV323" i="19"/>
  <c r="I326" i="19"/>
  <c r="I325" i="19" s="1"/>
  <c r="BH326" i="19"/>
  <c r="AW326" i="19"/>
  <c r="AK336" i="19"/>
  <c r="AT328" i="19" s="1"/>
  <c r="AJ336" i="19"/>
  <c r="K328" i="19"/>
  <c r="J110" i="19"/>
  <c r="AK110" i="19"/>
  <c r="I136" i="19"/>
  <c r="AJ136" i="19"/>
  <c r="J155" i="19"/>
  <c r="AK155" i="19"/>
  <c r="BH157" i="19"/>
  <c r="I162" i="19"/>
  <c r="I161" i="19" s="1"/>
  <c r="AJ162" i="19"/>
  <c r="AS161" i="19" s="1"/>
  <c r="BI162" i="19"/>
  <c r="J176" i="19"/>
  <c r="J166" i="19" s="1"/>
  <c r="AK176" i="19"/>
  <c r="AT166" i="19" s="1"/>
  <c r="I183" i="19"/>
  <c r="AJ183" i="19"/>
  <c r="AS178" i="19" s="1"/>
  <c r="BI183" i="19"/>
  <c r="J188" i="19"/>
  <c r="AH190" i="19"/>
  <c r="BH190" i="19"/>
  <c r="AX194" i="19"/>
  <c r="J200" i="19"/>
  <c r="AH203" i="19"/>
  <c r="AX208" i="19"/>
  <c r="AW222" i="19"/>
  <c r="AC234" i="19"/>
  <c r="AK240" i="19"/>
  <c r="AJ240" i="19"/>
  <c r="BC246" i="19"/>
  <c r="AV246" i="19"/>
  <c r="AE250" i="19"/>
  <c r="J256" i="19"/>
  <c r="BI256" i="19"/>
  <c r="AX256" i="19"/>
  <c r="BF261" i="19"/>
  <c r="M260" i="19"/>
  <c r="AL282" i="19"/>
  <c r="AU260" i="19" s="1"/>
  <c r="I314" i="19"/>
  <c r="BH314" i="19"/>
  <c r="AW314" i="19"/>
  <c r="BC316" i="19"/>
  <c r="AV316" i="19"/>
  <c r="AG326" i="19"/>
  <c r="AE326" i="19"/>
  <c r="AC326" i="19"/>
  <c r="BF336" i="19"/>
  <c r="M328" i="19"/>
  <c r="BC344" i="19"/>
  <c r="BC354" i="19"/>
  <c r="AK136" i="19"/>
  <c r="AH140" i="19"/>
  <c r="AH152" i="19"/>
  <c r="AJ157" i="19"/>
  <c r="AS154" i="19" s="1"/>
  <c r="AK162" i="19"/>
  <c r="AT161" i="19" s="1"/>
  <c r="AK183" i="19"/>
  <c r="AH185" i="19"/>
  <c r="AJ190" i="19"/>
  <c r="AH197" i="19"/>
  <c r="AJ203" i="19"/>
  <c r="AH211" i="19"/>
  <c r="BH211" i="19"/>
  <c r="AX222" i="19"/>
  <c r="AV230" i="19"/>
  <c r="AX248" i="19"/>
  <c r="AV248" i="19" s="1"/>
  <c r="J248" i="19"/>
  <c r="AV252" i="19"/>
  <c r="AW256" i="19"/>
  <c r="AH267" i="19"/>
  <c r="Z267" i="19"/>
  <c r="BC272" i="19"/>
  <c r="AV272" i="19"/>
  <c r="AF274" i="19"/>
  <c r="I282" i="19"/>
  <c r="BH282" i="19"/>
  <c r="AW282" i="19"/>
  <c r="BC285" i="19"/>
  <c r="AV285" i="19"/>
  <c r="AV299" i="19"/>
  <c r="BC310" i="19"/>
  <c r="AG314" i="19"/>
  <c r="AE314" i="19"/>
  <c r="AC314" i="19"/>
  <c r="AU338" i="19"/>
  <c r="I341" i="19"/>
  <c r="BH341" i="19"/>
  <c r="AW341" i="19"/>
  <c r="AK157" i="19"/>
  <c r="AK190" i="19"/>
  <c r="AK203" i="19"/>
  <c r="J246" i="19"/>
  <c r="BI246" i="19"/>
  <c r="AG250" i="19"/>
  <c r="AF258" i="19"/>
  <c r="AD258" i="19"/>
  <c r="AB258" i="19"/>
  <c r="I269" i="19"/>
  <c r="BH269" i="19"/>
  <c r="AV277" i="19"/>
  <c r="AG282" i="19"/>
  <c r="AE282" i="19"/>
  <c r="AC282" i="19"/>
  <c r="BC304" i="19"/>
  <c r="AV304" i="19"/>
  <c r="I312" i="19"/>
  <c r="BH312" i="19"/>
  <c r="AW312" i="19"/>
  <c r="BC318" i="19"/>
  <c r="AV318" i="19"/>
  <c r="BC339" i="19"/>
  <c r="J341" i="19"/>
  <c r="J338" i="19" s="1"/>
  <c r="BI341" i="19"/>
  <c r="AX341" i="19"/>
  <c r="AJ350" i="19"/>
  <c r="AS349" i="19" s="1"/>
  <c r="AL157" i="19"/>
  <c r="AU154" i="19" s="1"/>
  <c r="AC167" i="19"/>
  <c r="AB181" i="19"/>
  <c r="AL190" i="19"/>
  <c r="AL203" i="19"/>
  <c r="AU199" i="19" s="1"/>
  <c r="AG269" i="19"/>
  <c r="AE269" i="19"/>
  <c r="AC269" i="19"/>
  <c r="I279" i="19"/>
  <c r="BH279" i="19"/>
  <c r="AW279" i="19"/>
  <c r="BC288" i="19"/>
  <c r="AV288" i="19"/>
  <c r="J312" i="19"/>
  <c r="BI312" i="19"/>
  <c r="AX312" i="19"/>
  <c r="AF316" i="19"/>
  <c r="AD316" i="19"/>
  <c r="AB316" i="19"/>
  <c r="AF323" i="19"/>
  <c r="AD323" i="19"/>
  <c r="AB323" i="19"/>
  <c r="AH326" i="19"/>
  <c r="Z326" i="19"/>
  <c r="AL336" i="19"/>
  <c r="AU328" i="19" s="1"/>
  <c r="AK350" i="19"/>
  <c r="I362" i="19"/>
  <c r="BH362" i="19"/>
  <c r="AW362" i="19"/>
  <c r="AJ142" i="19"/>
  <c r="AK147" i="19"/>
  <c r="AT146" i="19" s="1"/>
  <c r="AK159" i="19"/>
  <c r="M178" i="19"/>
  <c r="AB188" i="19"/>
  <c r="AK192" i="19"/>
  <c r="AB200" i="19"/>
  <c r="AK206" i="19"/>
  <c r="BI238" i="19"/>
  <c r="AX238" i="19"/>
  <c r="AJ250" i="19"/>
  <c r="AK256" i="19"/>
  <c r="AJ256" i="19"/>
  <c r="BC258" i="19"/>
  <c r="AV258" i="19"/>
  <c r="J279" i="19"/>
  <c r="BI279" i="19"/>
  <c r="AX279" i="19"/>
  <c r="AF285" i="19"/>
  <c r="AD285" i="19"/>
  <c r="AH314" i="19"/>
  <c r="Z314" i="19"/>
  <c r="AG316" i="19"/>
  <c r="AE316" i="19"/>
  <c r="AC316" i="19"/>
  <c r="AE323" i="19"/>
  <c r="AC323" i="19"/>
  <c r="J329" i="19"/>
  <c r="BI329" i="19"/>
  <c r="AX329" i="19"/>
  <c r="AV329" i="19" s="1"/>
  <c r="I336" i="19"/>
  <c r="BH336" i="19"/>
  <c r="AW336" i="19"/>
  <c r="BC347" i="19"/>
  <c r="AV347" i="19"/>
  <c r="AL350" i="19"/>
  <c r="AU349" i="19" s="1"/>
  <c r="AB356" i="19"/>
  <c r="AF356" i="19"/>
  <c r="M358" i="19"/>
  <c r="J362" i="19"/>
  <c r="J358" i="19" s="1"/>
  <c r="BI362" i="19"/>
  <c r="AX362" i="19"/>
  <c r="BI194" i="19"/>
  <c r="BI208" i="19"/>
  <c r="BH222" i="19"/>
  <c r="BH230" i="19"/>
  <c r="AF248" i="19"/>
  <c r="AD248" i="19"/>
  <c r="AB248" i="19"/>
  <c r="AL250" i="19"/>
  <c r="AD272" i="19"/>
  <c r="AB272" i="19"/>
  <c r="AC274" i="19"/>
  <c r="AG274" i="19"/>
  <c r="AH282" i="19"/>
  <c r="Z282" i="19"/>
  <c r="AG285" i="19"/>
  <c r="AE285" i="19"/>
  <c r="AC285" i="19"/>
  <c r="AC306" i="19"/>
  <c r="AG306" i="19"/>
  <c r="AV320" i="19"/>
  <c r="J336" i="19"/>
  <c r="BI336" i="19"/>
  <c r="AX336" i="19"/>
  <c r="AF350" i="19"/>
  <c r="AD350" i="19"/>
  <c r="AB350" i="19"/>
  <c r="AL240" i="19"/>
  <c r="BI248" i="19"/>
  <c r="AV250" i="19"/>
  <c r="AD252" i="19"/>
  <c r="J258" i="19"/>
  <c r="BI258" i="19"/>
  <c r="AK267" i="19"/>
  <c r="BC296" i="19"/>
  <c r="AB301" i="19"/>
  <c r="AF301" i="19"/>
  <c r="AD304" i="19"/>
  <c r="AB304" i="19"/>
  <c r="AD318" i="19"/>
  <c r="AB318" i="19"/>
  <c r="AC320" i="19"/>
  <c r="AG320" i="19"/>
  <c r="BC352" i="19"/>
  <c r="AV352" i="19"/>
  <c r="AV356" i="19"/>
  <c r="BC356" i="19"/>
  <c r="BH250" i="19"/>
  <c r="I272" i="19"/>
  <c r="I288" i="19"/>
  <c r="BI288" i="19"/>
  <c r="BH299" i="19"/>
  <c r="I304" i="19"/>
  <c r="BI304" i="19"/>
  <c r="AE310" i="19"/>
  <c r="I318" i="19"/>
  <c r="BI318" i="19"/>
  <c r="J323" i="19"/>
  <c r="J322" i="19" s="1"/>
  <c r="AK323" i="19"/>
  <c r="AT322" i="19" s="1"/>
  <c r="I347" i="19"/>
  <c r="I346" i="19" s="1"/>
  <c r="BI347" i="19"/>
  <c r="J352" i="19"/>
  <c r="AK352" i="19"/>
  <c r="I359" i="19"/>
  <c r="AE361" i="19"/>
  <c r="AL323" i="19"/>
  <c r="AU322" i="19" s="1"/>
  <c r="AH234" i="19"/>
  <c r="J250" i="19"/>
  <c r="AH252" i="19"/>
  <c r="I274" i="19"/>
  <c r="AJ274" i="19"/>
  <c r="AJ291" i="19"/>
  <c r="AK299" i="19"/>
  <c r="AH301" i="19"/>
  <c r="I306" i="19"/>
  <c r="AJ306" i="19"/>
  <c r="AJ320" i="19"/>
  <c r="AH344" i="19"/>
  <c r="AL347" i="19"/>
  <c r="AU346" i="19" s="1"/>
  <c r="AV350" i="19"/>
  <c r="AK354" i="19"/>
  <c r="AH356" i="19"/>
  <c r="AL359" i="19"/>
  <c r="AU358" i="19" s="1"/>
  <c r="AJ360" i="19"/>
  <c r="AS358" i="19" s="1"/>
  <c r="AL299" i="19"/>
  <c r="AU298" i="19" s="1"/>
  <c r="AL306" i="19"/>
  <c r="AU303" i="19" s="1"/>
  <c r="AJ238" i="19"/>
  <c r="AJ254" i="19"/>
  <c r="AK277" i="19"/>
  <c r="AK296" i="19"/>
  <c r="AK310" i="19"/>
  <c r="AT303" i="19" s="1"/>
  <c r="AJ329" i="19"/>
  <c r="AS328" i="19" s="1"/>
  <c r="M349" i="19"/>
  <c r="AC352" i="19"/>
  <c r="AB359" i="19"/>
  <c r="AK361" i="19"/>
  <c r="AT358" i="19" s="1"/>
  <c r="AC272" i="19"/>
  <c r="AJ341" i="19"/>
  <c r="AS338" i="19" s="1"/>
  <c r="AB354" i="19"/>
  <c r="AC359" i="19"/>
  <c r="AK261" i="19"/>
  <c r="AK279" i="19"/>
  <c r="AK341" i="19"/>
  <c r="AT338" i="19" s="1"/>
  <c r="BC84" i="18"/>
  <c r="AV84" i="18"/>
  <c r="BC75" i="18"/>
  <c r="AV75" i="18"/>
  <c r="J52" i="18"/>
  <c r="AU101" i="18"/>
  <c r="AV35" i="18"/>
  <c r="BC40" i="18"/>
  <c r="AV40" i="18"/>
  <c r="BC92" i="18"/>
  <c r="AV92" i="18"/>
  <c r="BC27" i="18"/>
  <c r="BC88" i="18"/>
  <c r="AV88" i="18"/>
  <c r="AV18" i="18"/>
  <c r="BC18" i="18"/>
  <c r="AV33" i="18"/>
  <c r="J24" i="18"/>
  <c r="BC38" i="18"/>
  <c r="AV38" i="18"/>
  <c r="AV59" i="18"/>
  <c r="BC102" i="18"/>
  <c r="AV102" i="18"/>
  <c r="AU24" i="18"/>
  <c r="BC50" i="18"/>
  <c r="AV50" i="18"/>
  <c r="I77" i="18"/>
  <c r="AU12" i="18"/>
  <c r="J12" i="18"/>
  <c r="J77" i="18"/>
  <c r="AV42" i="18"/>
  <c r="BC42" i="18"/>
  <c r="AV104" i="18"/>
  <c r="BC104" i="18"/>
  <c r="AL78" i="18"/>
  <c r="AU77" i="18" s="1"/>
  <c r="BC99" i="18"/>
  <c r="I159" i="18"/>
  <c r="I158" i="18" s="1"/>
  <c r="BH159" i="18"/>
  <c r="AD159" i="18" s="1"/>
  <c r="AW159" i="18"/>
  <c r="I191" i="18"/>
  <c r="BH191" i="18"/>
  <c r="AB191" i="18" s="1"/>
  <c r="AW191" i="18"/>
  <c r="AU239" i="18"/>
  <c r="J264" i="18"/>
  <c r="J263" i="18" s="1"/>
  <c r="BI264" i="18"/>
  <c r="AX264" i="18"/>
  <c r="M17" i="18"/>
  <c r="AW22" i="18"/>
  <c r="AX27" i="18"/>
  <c r="AL38" i="18"/>
  <c r="AU37" i="18" s="1"/>
  <c r="AW46" i="18"/>
  <c r="AX67" i="18"/>
  <c r="AV67" i="18" s="1"/>
  <c r="AW96" i="18"/>
  <c r="AW108" i="18"/>
  <c r="BC128" i="18"/>
  <c r="I136" i="18"/>
  <c r="I135" i="18" s="1"/>
  <c r="BH136" i="18"/>
  <c r="AD136" i="18" s="1"/>
  <c r="AW136" i="18"/>
  <c r="J159" i="18"/>
  <c r="J158" i="18" s="1"/>
  <c r="BI159" i="18"/>
  <c r="AE159" i="18" s="1"/>
  <c r="AX159" i="18"/>
  <c r="J164" i="18"/>
  <c r="BI164" i="18"/>
  <c r="AE164" i="18" s="1"/>
  <c r="AX164" i="18"/>
  <c r="BC221" i="18"/>
  <c r="AV221" i="18"/>
  <c r="AL261" i="18"/>
  <c r="AU260" i="18" s="1"/>
  <c r="BC270" i="18"/>
  <c r="AV270" i="18"/>
  <c r="J150" i="18"/>
  <c r="J142" i="18" s="1"/>
  <c r="BI150" i="18"/>
  <c r="AE150" i="18" s="1"/>
  <c r="AX150" i="18"/>
  <c r="AX22" i="18"/>
  <c r="AW29" i="18"/>
  <c r="AX46" i="18"/>
  <c r="AW53" i="18"/>
  <c r="AW69" i="18"/>
  <c r="AX96" i="18"/>
  <c r="K181" i="18"/>
  <c r="BF191" i="18"/>
  <c r="M181" i="18"/>
  <c r="BC209" i="18"/>
  <c r="BC289" i="18"/>
  <c r="BC25" i="18"/>
  <c r="AX29" i="18"/>
  <c r="I42" i="18"/>
  <c r="I37" i="18" s="1"/>
  <c r="AW48" i="18"/>
  <c r="AX53" i="18"/>
  <c r="AX69" i="18"/>
  <c r="AW78" i="18"/>
  <c r="I113" i="18"/>
  <c r="I110" i="18" s="1"/>
  <c r="BH113" i="18"/>
  <c r="AB113" i="18" s="1"/>
  <c r="AW113" i="18"/>
  <c r="BF136" i="18"/>
  <c r="M135" i="18"/>
  <c r="I153" i="18"/>
  <c r="I142" i="18" s="1"/>
  <c r="BH153" i="18"/>
  <c r="AD153" i="18" s="1"/>
  <c r="AW153" i="18"/>
  <c r="BF159" i="18"/>
  <c r="M158" i="18"/>
  <c r="J203" i="18"/>
  <c r="BI203" i="18"/>
  <c r="AC203" i="18" s="1"/>
  <c r="AX203" i="18"/>
  <c r="AV227" i="18"/>
  <c r="I237" i="18"/>
  <c r="I234" i="18" s="1"/>
  <c r="BH237" i="18"/>
  <c r="AB237" i="18" s="1"/>
  <c r="AW237" i="18"/>
  <c r="AW31" i="18"/>
  <c r="AX48" i="18"/>
  <c r="M52" i="18"/>
  <c r="AW56" i="18"/>
  <c r="AW73" i="18"/>
  <c r="AX78" i="18"/>
  <c r="J113" i="18"/>
  <c r="J110" i="18" s="1"/>
  <c r="BI113" i="18"/>
  <c r="AC113" i="18" s="1"/>
  <c r="BC170" i="18"/>
  <c r="AV170" i="18"/>
  <c r="AT216" i="18"/>
  <c r="BC254" i="18"/>
  <c r="AV254" i="18"/>
  <c r="BC210" i="18"/>
  <c r="AX15" i="18"/>
  <c r="AV15" i="18" s="1"/>
  <c r="M77" i="18"/>
  <c r="AX113" i="18"/>
  <c r="AV147" i="18"/>
  <c r="BC147" i="18"/>
  <c r="I166" i="18"/>
  <c r="I161" i="18" s="1"/>
  <c r="BH166" i="18"/>
  <c r="AD166" i="18" s="1"/>
  <c r="AW166" i="18"/>
  <c r="AV188" i="18"/>
  <c r="BC199" i="18"/>
  <c r="AV199" i="18"/>
  <c r="BC206" i="18"/>
  <c r="AV206" i="18"/>
  <c r="I217" i="18"/>
  <c r="I216" i="18" s="1"/>
  <c r="BH217" i="18"/>
  <c r="AB217" i="18" s="1"/>
  <c r="AW217" i="18"/>
  <c r="BC225" i="18"/>
  <c r="BF237" i="18"/>
  <c r="M234" i="18"/>
  <c r="BC288" i="18"/>
  <c r="BF242" i="18"/>
  <c r="M239" i="18"/>
  <c r="M24" i="18"/>
  <c r="BI15" i="18"/>
  <c r="AC15" i="18" s="1"/>
  <c r="BH22" i="18"/>
  <c r="AB22" i="18" s="1"/>
  <c r="BI27" i="18"/>
  <c r="AC27" i="18" s="1"/>
  <c r="BH46" i="18"/>
  <c r="AB46" i="18" s="1"/>
  <c r="BI67" i="18"/>
  <c r="AC67" i="18" s="1"/>
  <c r="BH96" i="18"/>
  <c r="AB96" i="18" s="1"/>
  <c r="BC133" i="18"/>
  <c r="AV133" i="18"/>
  <c r="BC187" i="18"/>
  <c r="AV187" i="18"/>
  <c r="J211" i="18"/>
  <c r="BI211" i="18"/>
  <c r="AC211" i="18" s="1"/>
  <c r="AX211" i="18"/>
  <c r="J217" i="18"/>
  <c r="BI217" i="18"/>
  <c r="AC217" i="18" s="1"/>
  <c r="AX217" i="18"/>
  <c r="AV285" i="18"/>
  <c r="BC285" i="18"/>
  <c r="I291" i="18"/>
  <c r="I287" i="18" s="1"/>
  <c r="BH291" i="18"/>
  <c r="AB291" i="18" s="1"/>
  <c r="AW291" i="18"/>
  <c r="BC64" i="18"/>
  <c r="BI22" i="18"/>
  <c r="AC22" i="18" s="1"/>
  <c r="BH29" i="18"/>
  <c r="AB29" i="18" s="1"/>
  <c r="M37" i="18"/>
  <c r="BI46" i="18"/>
  <c r="AC46" i="18" s="1"/>
  <c r="BH53" i="18"/>
  <c r="AB53" i="18" s="1"/>
  <c r="BH69" i="18"/>
  <c r="AB69" i="18" s="1"/>
  <c r="BI96" i="18"/>
  <c r="AC96" i="18" s="1"/>
  <c r="I108" i="18"/>
  <c r="I101" i="18" s="1"/>
  <c r="M110" i="18"/>
  <c r="AU161" i="18"/>
  <c r="BC179" i="18"/>
  <c r="J190" i="18"/>
  <c r="BI190" i="18"/>
  <c r="AC190" i="18" s="1"/>
  <c r="AX190" i="18"/>
  <c r="AU216" i="18"/>
  <c r="BC223" i="18"/>
  <c r="AV223" i="18"/>
  <c r="J291" i="18"/>
  <c r="J287" i="18" s="1"/>
  <c r="BI291" i="18"/>
  <c r="AC291" i="18" s="1"/>
  <c r="AX291" i="18"/>
  <c r="I214" i="18"/>
  <c r="BH214" i="18"/>
  <c r="AB214" i="18" s="1"/>
  <c r="AW214" i="18"/>
  <c r="J230" i="18"/>
  <c r="BI230" i="18"/>
  <c r="AC230" i="18" s="1"/>
  <c r="AX230" i="18"/>
  <c r="BI29" i="18"/>
  <c r="AC29" i="18" s="1"/>
  <c r="BH48" i="18"/>
  <c r="AB48" i="18" s="1"/>
  <c r="BI53" i="18"/>
  <c r="AC53" i="18" s="1"/>
  <c r="BI69" i="18"/>
  <c r="AC69" i="18" s="1"/>
  <c r="BH78" i="18"/>
  <c r="AB78" i="18" s="1"/>
  <c r="J118" i="18"/>
  <c r="J115" i="18" s="1"/>
  <c r="BI118" i="18"/>
  <c r="AG118" i="18" s="1"/>
  <c r="AX118" i="18"/>
  <c r="AV162" i="18"/>
  <c r="BC162" i="18"/>
  <c r="AV202" i="18"/>
  <c r="BC202" i="18"/>
  <c r="I204" i="18"/>
  <c r="BH204" i="18"/>
  <c r="AB204" i="18" s="1"/>
  <c r="AW204" i="18"/>
  <c r="BF217" i="18"/>
  <c r="M216" i="18"/>
  <c r="AL219" i="18"/>
  <c r="I242" i="18"/>
  <c r="I239" i="18" s="1"/>
  <c r="BH242" i="18"/>
  <c r="AB242" i="18" s="1"/>
  <c r="AW242" i="18"/>
  <c r="J247" i="18"/>
  <c r="J246" i="18" s="1"/>
  <c r="BI247" i="18"/>
  <c r="AC247" i="18" s="1"/>
  <c r="AX247" i="18"/>
  <c r="K142" i="18"/>
  <c r="BC168" i="18"/>
  <c r="AV168" i="18"/>
  <c r="BC175" i="18"/>
  <c r="AV175" i="18"/>
  <c r="AV201" i="18"/>
  <c r="I230" i="18"/>
  <c r="BH230" i="18"/>
  <c r="AB230" i="18" s="1"/>
  <c r="AW230" i="18"/>
  <c r="AU234" i="18"/>
  <c r="J235" i="18"/>
  <c r="J234" i="18" s="1"/>
  <c r="BI235" i="18"/>
  <c r="AC235" i="18" s="1"/>
  <c r="AX235" i="18"/>
  <c r="J242" i="18"/>
  <c r="J239" i="18" s="1"/>
  <c r="BI242" i="18"/>
  <c r="AC242" i="18" s="1"/>
  <c r="AX242" i="18"/>
  <c r="AV273" i="18"/>
  <c r="AV281" i="18"/>
  <c r="BC283" i="18"/>
  <c r="AX111" i="18"/>
  <c r="AV111" i="18" s="1"/>
  <c r="AW118" i="18"/>
  <c r="BI124" i="18"/>
  <c r="AC124" i="18" s="1"/>
  <c r="AW164" i="18"/>
  <c r="AL182" i="18"/>
  <c r="AU181" i="18" s="1"/>
  <c r="AL279" i="18"/>
  <c r="AU278" i="18" s="1"/>
  <c r="J124" i="18"/>
  <c r="J123" i="18" s="1"/>
  <c r="BH128" i="18"/>
  <c r="AB128" i="18" s="1"/>
  <c r="AL133" i="18"/>
  <c r="AU132" i="18" s="1"/>
  <c r="BH143" i="18"/>
  <c r="AD143" i="18" s="1"/>
  <c r="BI179" i="18"/>
  <c r="AE179" i="18" s="1"/>
  <c r="BH201" i="18"/>
  <c r="AB201" i="18" s="1"/>
  <c r="AL124" i="18"/>
  <c r="AU123" i="18" s="1"/>
  <c r="AL254" i="18"/>
  <c r="AU253" i="18" s="1"/>
  <c r="AL270" i="18"/>
  <c r="AU269" i="18" s="1"/>
  <c r="AX108" i="18"/>
  <c r="AX136" i="18"/>
  <c r="AX153" i="18"/>
  <c r="BH162" i="18"/>
  <c r="AD162" i="18" s="1"/>
  <c r="AX166" i="18"/>
  <c r="BH189" i="18"/>
  <c r="AB189" i="18" s="1"/>
  <c r="AX191" i="18"/>
  <c r="AX204" i="18"/>
  <c r="AX214" i="18"/>
  <c r="AW219" i="18"/>
  <c r="AW232" i="18"/>
  <c r="AX237" i="18"/>
  <c r="AW244" i="18"/>
  <c r="AW261" i="18"/>
  <c r="AL276" i="18"/>
  <c r="AU275" i="18" s="1"/>
  <c r="AL288" i="18"/>
  <c r="AU287" i="18" s="1"/>
  <c r="BH140" i="18"/>
  <c r="AD140" i="18" s="1"/>
  <c r="AL143" i="18"/>
  <c r="AU142" i="18" s="1"/>
  <c r="AW155" i="18"/>
  <c r="AW182" i="18"/>
  <c r="AW205" i="18"/>
  <c r="AW215" i="18"/>
  <c r="AX219" i="18"/>
  <c r="AX232" i="18"/>
  <c r="AX244" i="18"/>
  <c r="AX261" i="18"/>
  <c r="AW279" i="18"/>
  <c r="BH118" i="18"/>
  <c r="AF118" i="18" s="1"/>
  <c r="AV124" i="18"/>
  <c r="AV200" i="18"/>
  <c r="BH247" i="18"/>
  <c r="AB247" i="18" s="1"/>
  <c r="M260" i="18"/>
  <c r="AV179" i="18"/>
  <c r="AV276" i="18"/>
  <c r="M278" i="18"/>
  <c r="AV288" i="18"/>
  <c r="M132" i="18"/>
  <c r="M174" i="18"/>
  <c r="BI136" i="18"/>
  <c r="AE136" i="18" s="1"/>
  <c r="BI204" i="18"/>
  <c r="AC204" i="18" s="1"/>
  <c r="BI214" i="18"/>
  <c r="AC214" i="18" s="1"/>
  <c r="BH219" i="18"/>
  <c r="AB219" i="18" s="1"/>
  <c r="BH232" i="18"/>
  <c r="AB232" i="18" s="1"/>
  <c r="BI237" i="18"/>
  <c r="AC237" i="18" s="1"/>
  <c r="BH244" i="18"/>
  <c r="AB244" i="18" s="1"/>
  <c r="BH261" i="18"/>
  <c r="I112" i="19" l="1"/>
  <c r="BC157" i="19"/>
  <c r="AC91" i="19"/>
  <c r="I146" i="19"/>
  <c r="BC152" i="19"/>
  <c r="AV20" i="18"/>
  <c r="AS17" i="19"/>
  <c r="AG310" i="19"/>
  <c r="AC310" i="19"/>
  <c r="I338" i="19"/>
  <c r="AV94" i="19"/>
  <c r="BC13" i="19"/>
  <c r="AV73" i="19"/>
  <c r="J48" i="19"/>
  <c r="BC167" i="19"/>
  <c r="K292" i="18"/>
  <c r="G21" i="10" s="1"/>
  <c r="BC274" i="18"/>
  <c r="AT298" i="19"/>
  <c r="J187" i="19"/>
  <c r="BC18" i="19"/>
  <c r="BC267" i="18"/>
  <c r="AV189" i="18"/>
  <c r="BC306" i="19"/>
  <c r="I358" i="19"/>
  <c r="AS187" i="19"/>
  <c r="I199" i="19"/>
  <c r="AT70" i="19"/>
  <c r="I17" i="19"/>
  <c r="J181" i="18"/>
  <c r="J37" i="18"/>
  <c r="I24" i="18"/>
  <c r="AF310" i="19"/>
  <c r="AB310" i="19"/>
  <c r="AV344" i="19"/>
  <c r="AV121" i="18"/>
  <c r="BC301" i="19"/>
  <c r="J349" i="19"/>
  <c r="I328" i="19"/>
  <c r="J154" i="19"/>
  <c r="BC64" i="19"/>
  <c r="I187" i="19"/>
  <c r="BC15" i="19"/>
  <c r="BC197" i="19"/>
  <c r="I174" i="18"/>
  <c r="AS260" i="19"/>
  <c r="K363" i="19"/>
  <c r="G22" i="10" s="1"/>
  <c r="AE181" i="19"/>
  <c r="AG181" i="19"/>
  <c r="AB162" i="19"/>
  <c r="AD162" i="19"/>
  <c r="AF162" i="19"/>
  <c r="AS166" i="19"/>
  <c r="AS112" i="19"/>
  <c r="AU210" i="19"/>
  <c r="AS210" i="19"/>
  <c r="AV15" i="19"/>
  <c r="AD200" i="19"/>
  <c r="AF200" i="19"/>
  <c r="BC361" i="19"/>
  <c r="AV361" i="19"/>
  <c r="AD359" i="19"/>
  <c r="AF359" i="19"/>
  <c r="AB13" i="19"/>
  <c r="AF13" i="19"/>
  <c r="AD13" i="19"/>
  <c r="AB62" i="19"/>
  <c r="AF62" i="19"/>
  <c r="AD62" i="19"/>
  <c r="AE359" i="19"/>
  <c r="AG359" i="19"/>
  <c r="AV22" i="19"/>
  <c r="AV167" i="19"/>
  <c r="I210" i="19"/>
  <c r="J210" i="19"/>
  <c r="AC188" i="19"/>
  <c r="AE188" i="19"/>
  <c r="AG188" i="19"/>
  <c r="AV46" i="19"/>
  <c r="AD176" i="19"/>
  <c r="AF176" i="19"/>
  <c r="I178" i="19"/>
  <c r="AE352" i="19"/>
  <c r="AG352" i="19"/>
  <c r="AC176" i="19"/>
  <c r="AG176" i="19"/>
  <c r="AE176" i="19"/>
  <c r="J88" i="19"/>
  <c r="I70" i="19"/>
  <c r="AT88" i="19"/>
  <c r="AE272" i="19"/>
  <c r="AG272" i="19"/>
  <c r="I154" i="19"/>
  <c r="AB306" i="19"/>
  <c r="AF306" i="19"/>
  <c r="AD306" i="19"/>
  <c r="AF296" i="19"/>
  <c r="AD296" i="19"/>
  <c r="AB296" i="19"/>
  <c r="AU187" i="19"/>
  <c r="AS199" i="19"/>
  <c r="AV291" i="19"/>
  <c r="BC291" i="19"/>
  <c r="J199" i="19"/>
  <c r="AS12" i="19"/>
  <c r="AC200" i="19"/>
  <c r="AG200" i="19"/>
  <c r="AE200" i="19"/>
  <c r="AV62" i="19"/>
  <c r="BC140" i="19"/>
  <c r="AV140" i="19"/>
  <c r="AE94" i="19"/>
  <c r="AG94" i="19"/>
  <c r="AT349" i="19"/>
  <c r="J303" i="19"/>
  <c r="BC248" i="19"/>
  <c r="AB86" i="19"/>
  <c r="AT48" i="19"/>
  <c r="I298" i="19"/>
  <c r="J216" i="18"/>
  <c r="BC44" i="18"/>
  <c r="AV44" i="18"/>
  <c r="BC94" i="18"/>
  <c r="AV94" i="18"/>
  <c r="BC13" i="18"/>
  <c r="BC189" i="18"/>
  <c r="BC106" i="18"/>
  <c r="AV106" i="18"/>
  <c r="I181" i="18"/>
  <c r="AV99" i="18"/>
  <c r="BC240" i="18"/>
  <c r="AV240" i="18"/>
  <c r="J161" i="18"/>
  <c r="BC116" i="18"/>
  <c r="AV27" i="18"/>
  <c r="BC140" i="18"/>
  <c r="AV140" i="18"/>
  <c r="AV267" i="18"/>
  <c r="J278" i="18"/>
  <c r="BC290" i="18"/>
  <c r="AV290" i="18"/>
  <c r="AV234" i="19"/>
  <c r="BC234" i="19"/>
  <c r="AG256" i="19"/>
  <c r="AE256" i="19"/>
  <c r="AC256" i="19"/>
  <c r="AV97" i="19"/>
  <c r="BC97" i="19"/>
  <c r="AE318" i="19"/>
  <c r="AC318" i="19"/>
  <c r="AG318" i="19"/>
  <c r="AG336" i="19"/>
  <c r="AE336" i="19"/>
  <c r="AC336" i="19"/>
  <c r="J328" i="19"/>
  <c r="AG279" i="19"/>
  <c r="AE279" i="19"/>
  <c r="AC279" i="19"/>
  <c r="AG246" i="19"/>
  <c r="AE246" i="19"/>
  <c r="AC246" i="19"/>
  <c r="AB190" i="19"/>
  <c r="AF190" i="19"/>
  <c r="AD190" i="19"/>
  <c r="AT154" i="19"/>
  <c r="AT178" i="19"/>
  <c r="AG89" i="19"/>
  <c r="AE89" i="19"/>
  <c r="AC89" i="19"/>
  <c r="BC194" i="19"/>
  <c r="AV194" i="19"/>
  <c r="AF142" i="19"/>
  <c r="AD142" i="19"/>
  <c r="AB142" i="19"/>
  <c r="BC89" i="19"/>
  <c r="AV89" i="19"/>
  <c r="AV240" i="19"/>
  <c r="BC240" i="19"/>
  <c r="AG159" i="19"/>
  <c r="AE159" i="19"/>
  <c r="AC159" i="19"/>
  <c r="AG64" i="19"/>
  <c r="AE64" i="19"/>
  <c r="AC64" i="19"/>
  <c r="BC279" i="19"/>
  <c r="AV279" i="19"/>
  <c r="AV256" i="19"/>
  <c r="BC256" i="19"/>
  <c r="AS88" i="19"/>
  <c r="AG206" i="19"/>
  <c r="AE206" i="19"/>
  <c r="AC206" i="19"/>
  <c r="AF194" i="19"/>
  <c r="AD194" i="19"/>
  <c r="AB194" i="19"/>
  <c r="AF240" i="19"/>
  <c r="AD240" i="19"/>
  <c r="AB240" i="19"/>
  <c r="AC97" i="19"/>
  <c r="AE97" i="19"/>
  <c r="AG97" i="19"/>
  <c r="AB157" i="19"/>
  <c r="AF157" i="19"/>
  <c r="AD157" i="19"/>
  <c r="AE102" i="19"/>
  <c r="AG102" i="19"/>
  <c r="AC102" i="19"/>
  <c r="BC329" i="19"/>
  <c r="AG258" i="19"/>
  <c r="AE258" i="19"/>
  <c r="AC258" i="19"/>
  <c r="AF279" i="19"/>
  <c r="AD279" i="19"/>
  <c r="AB279" i="19"/>
  <c r="AT199" i="19"/>
  <c r="AF77" i="19"/>
  <c r="AD77" i="19"/>
  <c r="AB77" i="19"/>
  <c r="AF89" i="19"/>
  <c r="AD89" i="19"/>
  <c r="AB89" i="19"/>
  <c r="AG254" i="19"/>
  <c r="AE254" i="19"/>
  <c r="AC254" i="19"/>
  <c r="BC49" i="19"/>
  <c r="AV49" i="19"/>
  <c r="BC267" i="19"/>
  <c r="AV267" i="19"/>
  <c r="AB71" i="19"/>
  <c r="AD71" i="19"/>
  <c r="AF71" i="19"/>
  <c r="AG192" i="19"/>
  <c r="AE192" i="19"/>
  <c r="AC192" i="19"/>
  <c r="BC36" i="19"/>
  <c r="AV36" i="19"/>
  <c r="AF326" i="19"/>
  <c r="AD326" i="19"/>
  <c r="AB326" i="19"/>
  <c r="AE304" i="19"/>
  <c r="AC304" i="19"/>
  <c r="AG304" i="19"/>
  <c r="AG341" i="19"/>
  <c r="AE341" i="19"/>
  <c r="AC341" i="19"/>
  <c r="AT187" i="19"/>
  <c r="AC183" i="19"/>
  <c r="AG183" i="19"/>
  <c r="AE183" i="19"/>
  <c r="AF36" i="19"/>
  <c r="AD36" i="19"/>
  <c r="AB36" i="19"/>
  <c r="AF26" i="19"/>
  <c r="AD26" i="19"/>
  <c r="AB26" i="19"/>
  <c r="AF267" i="19"/>
  <c r="AD267" i="19"/>
  <c r="AB267" i="19"/>
  <c r="AC53" i="19"/>
  <c r="AE53" i="19"/>
  <c r="AG53" i="19"/>
  <c r="BC192" i="19"/>
  <c r="AG329" i="19"/>
  <c r="AE329" i="19"/>
  <c r="AC329" i="19"/>
  <c r="I303" i="19"/>
  <c r="BC314" i="19"/>
  <c r="AV314" i="19"/>
  <c r="BC206" i="19"/>
  <c r="AG75" i="19"/>
  <c r="AE75" i="19"/>
  <c r="AC75" i="19"/>
  <c r="AV104" i="19"/>
  <c r="BC104" i="19"/>
  <c r="AG15" i="19"/>
  <c r="AE15" i="19"/>
  <c r="AC15" i="19"/>
  <c r="BC102" i="19"/>
  <c r="AV102" i="19"/>
  <c r="BC159" i="19"/>
  <c r="BC75" i="19"/>
  <c r="AV75" i="19"/>
  <c r="BC149" i="19"/>
  <c r="AV149" i="19"/>
  <c r="AG149" i="19"/>
  <c r="AE149" i="19"/>
  <c r="AC149" i="19"/>
  <c r="AF208" i="19"/>
  <c r="AD208" i="19"/>
  <c r="AB208" i="19"/>
  <c r="AG142" i="19"/>
  <c r="AE142" i="19"/>
  <c r="AC142" i="19"/>
  <c r="AF144" i="19"/>
  <c r="AD144" i="19"/>
  <c r="AB144" i="19"/>
  <c r="AD299" i="19"/>
  <c r="AB299" i="19"/>
  <c r="AF299" i="19"/>
  <c r="AF269" i="19"/>
  <c r="AD269" i="19"/>
  <c r="AB269" i="19"/>
  <c r="BC282" i="19"/>
  <c r="AV282" i="19"/>
  <c r="AF314" i="19"/>
  <c r="AD314" i="19"/>
  <c r="AB314" i="19"/>
  <c r="BC142" i="19"/>
  <c r="AV142" i="19"/>
  <c r="AG147" i="19"/>
  <c r="AE147" i="19"/>
  <c r="AC147" i="19"/>
  <c r="AF104" i="19"/>
  <c r="AD104" i="19"/>
  <c r="AB104" i="19"/>
  <c r="AF149" i="19"/>
  <c r="AD149" i="19"/>
  <c r="AB149" i="19"/>
  <c r="AS303" i="19"/>
  <c r="AE288" i="19"/>
  <c r="AC288" i="19"/>
  <c r="AG288" i="19"/>
  <c r="AE248" i="19"/>
  <c r="AC248" i="19"/>
  <c r="AG248" i="19"/>
  <c r="AF230" i="19"/>
  <c r="AD230" i="19"/>
  <c r="AB230" i="19"/>
  <c r="BC341" i="19"/>
  <c r="AV341" i="19"/>
  <c r="AF282" i="19"/>
  <c r="AD282" i="19"/>
  <c r="AB282" i="19"/>
  <c r="AF256" i="19"/>
  <c r="AD256" i="19"/>
  <c r="AB256" i="19"/>
  <c r="AG261" i="19"/>
  <c r="AE261" i="19"/>
  <c r="AC261" i="19"/>
  <c r="BC91" i="19"/>
  <c r="AV91" i="19"/>
  <c r="AG240" i="19"/>
  <c r="AE240" i="19"/>
  <c r="AC240" i="19"/>
  <c r="AD18" i="19"/>
  <c r="AB18" i="19"/>
  <c r="AF18" i="19"/>
  <c r="AG218" i="19"/>
  <c r="AE218" i="19"/>
  <c r="AC218" i="19"/>
  <c r="AG362" i="19"/>
  <c r="AE362" i="19"/>
  <c r="AC362" i="19"/>
  <c r="AB234" i="19"/>
  <c r="AF234" i="19"/>
  <c r="AD234" i="19"/>
  <c r="AF222" i="19"/>
  <c r="AD222" i="19"/>
  <c r="AB222" i="19"/>
  <c r="BC336" i="19"/>
  <c r="AV336" i="19"/>
  <c r="AV238" i="19"/>
  <c r="BC238" i="19"/>
  <c r="BC362" i="19"/>
  <c r="AV362" i="19"/>
  <c r="AF341" i="19"/>
  <c r="AD341" i="19"/>
  <c r="AB341" i="19"/>
  <c r="AF211" i="19"/>
  <c r="AD211" i="19"/>
  <c r="AB211" i="19"/>
  <c r="BC222" i="19"/>
  <c r="AV222" i="19"/>
  <c r="J260" i="19"/>
  <c r="BC261" i="19"/>
  <c r="AV261" i="19"/>
  <c r="AT17" i="19"/>
  <c r="BC77" i="19"/>
  <c r="AV77" i="19"/>
  <c r="AE347" i="19"/>
  <c r="AC347" i="19"/>
  <c r="AG347" i="19"/>
  <c r="AG208" i="19"/>
  <c r="AE208" i="19"/>
  <c r="AC208" i="19"/>
  <c r="AF336" i="19"/>
  <c r="AD336" i="19"/>
  <c r="AB336" i="19"/>
  <c r="AG238" i="19"/>
  <c r="AE238" i="19"/>
  <c r="AC238" i="19"/>
  <c r="AF362" i="19"/>
  <c r="AD362" i="19"/>
  <c r="AB362" i="19"/>
  <c r="BC312" i="19"/>
  <c r="AV312" i="19"/>
  <c r="AC162" i="19"/>
  <c r="AG162" i="19"/>
  <c r="AE162" i="19"/>
  <c r="BC218" i="19"/>
  <c r="AV218" i="19"/>
  <c r="AF261" i="19"/>
  <c r="AD261" i="19"/>
  <c r="AB261" i="19"/>
  <c r="AG144" i="19"/>
  <c r="AE144" i="19"/>
  <c r="AC144" i="19"/>
  <c r="BC26" i="19"/>
  <c r="AV26" i="19"/>
  <c r="BC326" i="19"/>
  <c r="AV326" i="19"/>
  <c r="AT260" i="19"/>
  <c r="AD250" i="19"/>
  <c r="AB250" i="19"/>
  <c r="AF250" i="19"/>
  <c r="AG194" i="19"/>
  <c r="AE194" i="19"/>
  <c r="AC194" i="19"/>
  <c r="AG312" i="19"/>
  <c r="AE312" i="19"/>
  <c r="AC312" i="19"/>
  <c r="AF312" i="19"/>
  <c r="AD312" i="19"/>
  <c r="AB312" i="19"/>
  <c r="AF218" i="19"/>
  <c r="AD218" i="19"/>
  <c r="AB218" i="19"/>
  <c r="BC208" i="19"/>
  <c r="AV208" i="19"/>
  <c r="AT112" i="19"/>
  <c r="AG26" i="19"/>
  <c r="AE26" i="19"/>
  <c r="AC26" i="19"/>
  <c r="I260" i="19"/>
  <c r="AF75" i="19"/>
  <c r="AD75" i="19"/>
  <c r="AB75" i="19"/>
  <c r="BC144" i="19"/>
  <c r="AV144" i="19"/>
  <c r="BC29" i="18"/>
  <c r="AV29" i="18"/>
  <c r="BC164" i="18"/>
  <c r="AV164" i="18"/>
  <c r="BC247" i="18"/>
  <c r="AV247" i="18"/>
  <c r="BC217" i="18"/>
  <c r="AV217" i="18"/>
  <c r="BC150" i="18"/>
  <c r="AV150" i="18"/>
  <c r="AV46" i="18"/>
  <c r="BC46" i="18"/>
  <c r="BC235" i="18"/>
  <c r="AV235" i="18"/>
  <c r="BC237" i="18"/>
  <c r="AV237" i="18"/>
  <c r="BC159" i="18"/>
  <c r="AV159" i="18"/>
  <c r="BC96" i="18"/>
  <c r="AV96" i="18"/>
  <c r="BC211" i="18"/>
  <c r="AV211" i="18"/>
  <c r="BC219" i="18"/>
  <c r="AV219" i="18"/>
  <c r="BC230" i="18"/>
  <c r="AV230" i="18"/>
  <c r="BC242" i="18"/>
  <c r="AV242" i="18"/>
  <c r="BC214" i="18"/>
  <c r="AV214" i="18"/>
  <c r="BC203" i="18"/>
  <c r="AV203" i="18"/>
  <c r="AV22" i="18"/>
  <c r="BC22" i="18"/>
  <c r="AV118" i="18"/>
  <c r="BC118" i="18"/>
  <c r="BC205" i="18"/>
  <c r="AV205" i="18"/>
  <c r="BC78" i="18"/>
  <c r="AV78" i="18"/>
  <c r="BC15" i="18"/>
  <c r="BC182" i="18"/>
  <c r="AV182" i="18"/>
  <c r="BC73" i="18"/>
  <c r="AV73" i="18"/>
  <c r="BC111" i="18"/>
  <c r="BC136" i="18"/>
  <c r="AV136" i="18"/>
  <c r="BC264" i="18"/>
  <c r="AV264" i="18"/>
  <c r="BC215" i="18"/>
  <c r="AV215" i="18"/>
  <c r="BC155" i="18"/>
  <c r="AV155" i="18"/>
  <c r="BC291" i="18"/>
  <c r="AV291" i="18"/>
  <c r="BC56" i="18"/>
  <c r="AV56" i="18"/>
  <c r="BC279" i="18"/>
  <c r="AV279" i="18"/>
  <c r="BC113" i="18"/>
  <c r="AV113" i="18"/>
  <c r="BC232" i="18"/>
  <c r="AV232" i="18"/>
  <c r="BC190" i="18"/>
  <c r="AV190" i="18"/>
  <c r="BC48" i="18"/>
  <c r="AV48" i="18"/>
  <c r="BC69" i="18"/>
  <c r="AV69" i="18"/>
  <c r="BC166" i="18"/>
  <c r="AV166" i="18"/>
  <c r="BC153" i="18"/>
  <c r="AV153" i="18"/>
  <c r="BC53" i="18"/>
  <c r="AV53" i="18"/>
  <c r="BC261" i="18"/>
  <c r="AV261" i="18"/>
  <c r="BC244" i="18"/>
  <c r="AV244" i="18"/>
  <c r="BC204" i="18"/>
  <c r="AV204" i="18"/>
  <c r="BC31" i="18"/>
  <c r="AV31" i="18"/>
  <c r="BC108" i="18"/>
  <c r="AV108" i="18"/>
  <c r="BC191" i="18"/>
  <c r="AV191" i="18"/>
  <c r="BC67" i="18"/>
  <c r="H113" i="14"/>
  <c r="H112" i="14"/>
  <c r="H111" i="14"/>
  <c r="H110" i="14"/>
  <c r="H109" i="14"/>
  <c r="H108" i="14"/>
  <c r="H107" i="14"/>
  <c r="H104" i="14"/>
  <c r="H101" i="14"/>
  <c r="H98" i="14"/>
  <c r="H97" i="14"/>
  <c r="H96" i="14"/>
  <c r="H93" i="14"/>
  <c r="H92" i="14"/>
  <c r="H91" i="14"/>
  <c r="H90" i="14"/>
  <c r="H89" i="14"/>
  <c r="H88" i="14"/>
  <c r="H87" i="14"/>
  <c r="H84" i="14"/>
  <c r="H83" i="14"/>
  <c r="H82" i="14"/>
  <c r="H81" i="14"/>
  <c r="H80" i="14"/>
  <c r="H79" i="14"/>
  <c r="H78" i="14"/>
  <c r="H77" i="14"/>
  <c r="H76" i="14"/>
  <c r="H75" i="14"/>
  <c r="H74" i="14"/>
  <c r="H71" i="14"/>
  <c r="H70" i="14"/>
  <c r="H69" i="14"/>
  <c r="H68" i="14"/>
  <c r="H67" i="14"/>
  <c r="H66" i="14"/>
  <c r="H65" i="14"/>
  <c r="H64" i="14"/>
  <c r="H63" i="14"/>
  <c r="H62" i="14"/>
  <c r="H61" i="14"/>
  <c r="H60" i="14"/>
  <c r="H59" i="14"/>
  <c r="H58" i="14"/>
  <c r="H55" i="14"/>
  <c r="H54" i="14"/>
  <c r="H53" i="14"/>
  <c r="H52" i="14"/>
  <c r="H51" i="14"/>
  <c r="H48" i="14"/>
  <c r="H47" i="14"/>
  <c r="H46" i="14"/>
  <c r="H43" i="14"/>
  <c r="H40" i="14"/>
  <c r="H37" i="14"/>
  <c r="H36" i="14"/>
  <c r="H35" i="14"/>
  <c r="H34" i="14"/>
  <c r="H33" i="14"/>
  <c r="H32" i="14"/>
  <c r="H31" i="14"/>
  <c r="H28" i="14"/>
  <c r="H25" i="14"/>
  <c r="H24" i="14"/>
  <c r="H23" i="14"/>
  <c r="H20" i="14"/>
  <c r="H19" i="14"/>
  <c r="H18" i="14"/>
  <c r="H17" i="14"/>
  <c r="H16" i="14"/>
  <c r="H15" i="14"/>
  <c r="H14" i="14"/>
  <c r="H11" i="14"/>
  <c r="H10" i="14"/>
  <c r="H9" i="14"/>
  <c r="H8" i="14"/>
  <c r="H7" i="14"/>
  <c r="H116" i="14" l="1"/>
  <c r="G27" i="10" s="1"/>
  <c r="H107" i="13"/>
  <c r="H106" i="13"/>
  <c r="H105" i="13"/>
  <c r="H104" i="13"/>
  <c r="H103" i="13"/>
  <c r="H102" i="13"/>
  <c r="H101" i="13"/>
  <c r="H98" i="13"/>
  <c r="H97" i="13"/>
  <c r="H96" i="13"/>
  <c r="H93" i="13"/>
  <c r="H92" i="13"/>
  <c r="H91" i="13"/>
  <c r="H90" i="13"/>
  <c r="H89" i="13"/>
  <c r="H88" i="13"/>
  <c r="D87" i="13"/>
  <c r="H87" i="13" s="1"/>
  <c r="H85" i="13"/>
  <c r="H84" i="13"/>
  <c r="H83" i="13"/>
  <c r="H80" i="13"/>
  <c r="H79" i="13"/>
  <c r="H78" i="13"/>
  <c r="H77" i="13"/>
  <c r="H76" i="13"/>
  <c r="H75" i="13"/>
  <c r="H74" i="13"/>
  <c r="H73" i="13"/>
  <c r="H72" i="13"/>
  <c r="H71" i="13"/>
  <c r="H70" i="13"/>
  <c r="H67" i="13"/>
  <c r="D66" i="13"/>
  <c r="H66" i="13" s="1"/>
  <c r="H65" i="13"/>
  <c r="H64" i="13"/>
  <c r="H63" i="13"/>
  <c r="H62" i="13"/>
  <c r="H61" i="13"/>
  <c r="H60" i="13"/>
  <c r="H59" i="13"/>
  <c r="H58" i="13"/>
  <c r="H57" i="13"/>
  <c r="H54" i="13"/>
  <c r="H53" i="13"/>
  <c r="H52" i="13"/>
  <c r="H51" i="13"/>
  <c r="H50" i="13"/>
  <c r="H49" i="13"/>
  <c r="H48" i="13"/>
  <c r="H45" i="13"/>
  <c r="H44" i="13"/>
  <c r="H43" i="13"/>
  <c r="H42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2" i="13"/>
  <c r="H21" i="13"/>
  <c r="H20" i="13"/>
  <c r="H19" i="13"/>
  <c r="H18" i="13"/>
  <c r="H15" i="13"/>
  <c r="H14" i="13"/>
  <c r="H13" i="13"/>
  <c r="H12" i="13"/>
  <c r="H9" i="13"/>
  <c r="H8" i="13"/>
  <c r="H7" i="13"/>
  <c r="H110" i="13" l="1"/>
  <c r="G26" i="10" s="1"/>
  <c r="B174" i="11"/>
  <c r="F171" i="11"/>
  <c r="F170" i="11"/>
  <c r="F167" i="11"/>
  <c r="F166" i="11"/>
  <c r="F165" i="11"/>
  <c r="F164" i="11"/>
  <c r="F163" i="11"/>
  <c r="F162" i="11"/>
  <c r="F161" i="11"/>
  <c r="F160" i="11"/>
  <c r="F156" i="11"/>
  <c r="F155" i="11"/>
  <c r="F154" i="11"/>
  <c r="F150" i="11"/>
  <c r="F149" i="11"/>
  <c r="F148" i="11"/>
  <c r="F147" i="11"/>
  <c r="F144" i="11"/>
  <c r="F143" i="11"/>
  <c r="F142" i="11"/>
  <c r="F141" i="11"/>
  <c r="F138" i="11"/>
  <c r="F137" i="11"/>
  <c r="F136" i="11"/>
  <c r="F135" i="11"/>
  <c r="F134" i="11"/>
  <c r="F133" i="11"/>
  <c r="F132" i="11"/>
  <c r="F131" i="11"/>
  <c r="F130" i="11"/>
  <c r="F129" i="11"/>
  <c r="F126" i="11"/>
  <c r="F125" i="11"/>
  <c r="F124" i="11"/>
  <c r="F123" i="11"/>
  <c r="F122" i="11"/>
  <c r="F121" i="11"/>
  <c r="F118" i="11"/>
  <c r="F117" i="11"/>
  <c r="F116" i="11"/>
  <c r="F115" i="11"/>
  <c r="C114" i="11"/>
  <c r="F114" i="11" s="1"/>
  <c r="F113" i="11"/>
  <c r="F112" i="11"/>
  <c r="F111" i="11"/>
  <c r="F110" i="11"/>
  <c r="F109" i="11"/>
  <c r="F108" i="11"/>
  <c r="F104" i="11"/>
  <c r="F103" i="11"/>
  <c r="F102" i="11"/>
  <c r="F101" i="11"/>
  <c r="F100" i="11"/>
  <c r="F99" i="11"/>
  <c r="E53" i="11" l="1"/>
  <c r="E55" i="11" s="1"/>
  <c r="G24" i="10" l="1"/>
  <c r="F123" i="9"/>
  <c r="F110" i="9"/>
  <c r="F95" i="9" l="1"/>
  <c r="F83" i="9" s="1"/>
  <c r="F109" i="9"/>
  <c r="F142" i="9"/>
  <c r="F141" i="9"/>
  <c r="F155" i="9"/>
  <c r="F125" i="9"/>
  <c r="F140" i="9"/>
  <c r="F132" i="9"/>
  <c r="F130" i="9"/>
  <c r="F131" i="9"/>
  <c r="F103" i="9"/>
  <c r="F108" i="9"/>
  <c r="F107" i="9"/>
  <c r="F101" i="9"/>
  <c r="F98" i="9"/>
  <c r="F97" i="9"/>
  <c r="F104" i="9"/>
  <c r="F133" i="9"/>
  <c r="F134" i="9"/>
  <c r="F136" i="9"/>
  <c r="F137" i="9"/>
  <c r="F138" i="9"/>
  <c r="F139" i="9"/>
  <c r="F150" i="9"/>
  <c r="F153" i="9"/>
  <c r="F167" i="9"/>
  <c r="F168" i="9"/>
  <c r="F169" i="9"/>
  <c r="F170" i="9"/>
  <c r="F119" i="9"/>
  <c r="F120" i="9"/>
  <c r="F135" i="9" l="1"/>
  <c r="B79" i="9"/>
  <c r="B161" i="9" s="1"/>
  <c r="B78" i="9"/>
  <c r="B160" i="9" s="1"/>
  <c r="B77" i="9"/>
  <c r="B159" i="9" s="1"/>
  <c r="F154" i="9"/>
  <c r="F129" i="9"/>
  <c r="F128" i="9"/>
  <c r="F127" i="9"/>
  <c r="F126" i="9"/>
  <c r="F124" i="9"/>
  <c r="F122" i="9"/>
  <c r="F121" i="9"/>
  <c r="F116" i="9"/>
  <c r="F115" i="9"/>
  <c r="F114" i="9"/>
  <c r="F113" i="9"/>
  <c r="F106" i="9"/>
  <c r="F105" i="9"/>
  <c r="F102" i="9"/>
  <c r="F100" i="9"/>
  <c r="F99" i="9"/>
  <c r="F96" i="9"/>
  <c r="F93" i="9"/>
  <c r="F92" i="9"/>
  <c r="F91" i="9"/>
  <c r="F90" i="9"/>
  <c r="F89" i="9"/>
  <c r="F88" i="9"/>
  <c r="F87" i="9"/>
  <c r="F86" i="9"/>
  <c r="G25" i="10" l="1"/>
  <c r="F29" i="10" s="1"/>
  <c r="G31" i="10" s="1"/>
  <c r="G37" i="10" s="1"/>
  <c r="D42" i="9" l="1"/>
  <c r="D44" i="9" s="1"/>
  <c r="D46" i="9" s="1"/>
  <c r="E178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Kodiš Karel</author>
  </authors>
  <commentList>
    <comment ref="A88" authorId="0" shapeId="0" xr:uid="{E1DAEE8C-2E1B-4293-8FFB-2360D4DB0F32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89" authorId="0" shapeId="0" xr:uid="{B41EFF34-7FE8-41F3-8537-86676DAD2631}">
      <text>
        <r>
          <rPr>
            <b/>
            <sz val="9"/>
            <color indexed="81"/>
            <rFont val="Tahoma"/>
            <family val="2"/>
            <charset val="238"/>
          </rPr>
          <t>Kodiš Karel: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<sst xmlns="http://schemas.openxmlformats.org/spreadsheetml/2006/main" count="5040" uniqueCount="1476">
  <si>
    <t xml:space="preserve">    732 - Ústřední vytápění - strojovny</t>
  </si>
  <si>
    <t xml:space="preserve">    734 - Ústřední vytápění - armatury</t>
  </si>
  <si>
    <t xml:space="preserve">    767 - Konstrukce zámečnické</t>
  </si>
  <si>
    <t xml:space="preserve">    783 - Dokončovací práce - nátěry</t>
  </si>
  <si>
    <t>HZS - Hodinové zúčtovací sazby</t>
  </si>
  <si>
    <t>VRN - Vedlejší rozpočtové náklady</t>
  </si>
  <si>
    <t xml:space="preserve">    VRN7 - Provozní vlivy</t>
  </si>
  <si>
    <t>m</t>
  </si>
  <si>
    <t>Potrubí vodovodní plastové PPR svar polyfuze PN 20 D 110 x 18,4 mm</t>
  </si>
  <si>
    <t>Přesun hmot tonážní pro vnitřní vodovod v objektech v do 6 m</t>
  </si>
  <si>
    <t>t</t>
  </si>
  <si>
    <t xml:space="preserve">Montáž deskového výměníku výměníku tepla </t>
  </si>
  <si>
    <t>soubor</t>
  </si>
  <si>
    <t>Potrubí ocelové závitové bezešvé zesílené v kotelnách nebo strojovnách DN 50</t>
  </si>
  <si>
    <t>kus</t>
  </si>
  <si>
    <t>Filtr DN 65 PN 16 do 300°C z uhlíkové oceli s vypouštěcí přírubou</t>
  </si>
  <si>
    <t>Ventil závitový odvzdušňovací G 3/8 PN 10 do 120°C otopných těles</t>
  </si>
  <si>
    <t>Kohout plnící a vypouštěcí G 1/2 PN 10 do 110°C závitový</t>
  </si>
  <si>
    <t>Kohout kulový přímý G 1 PN 42 do 185°C vnitřní závit</t>
  </si>
  <si>
    <t>Kohout kulový přímý G 2 PN 42 do 185°C vnitřní závit</t>
  </si>
  <si>
    <t>Kohout kulový přímý G 2 1/2 PN 42 do 185°C vnitřní závit</t>
  </si>
  <si>
    <t>Ochranná jímka se závitem do G 1</t>
  </si>
  <si>
    <t>Návarek s trubkovým závitem G 1/2</t>
  </si>
  <si>
    <t>kg</t>
  </si>
  <si>
    <t>Základní antikorozní jednonásobný syntetický potrubí DN do 100 mm</t>
  </si>
  <si>
    <t>Mezinátěr jednonásobný syntetický nátěr potrubí DN do 100 mm</t>
  </si>
  <si>
    <t>Krycí jednonásobný syntetický nátěr potrubí DN do 100 mm</t>
  </si>
  <si>
    <t>Hodinová zúčtovací sazba zedník- stavební přípomoce</t>
  </si>
  <si>
    <t>hod</t>
  </si>
  <si>
    <t>Hodinová zúčtovací sazba instalatér- topná zkouška</t>
  </si>
  <si>
    <t>Hodinová zúčtovací sazba instalatér odborný- uvedení do provozu</t>
  </si>
  <si>
    <t>Inženýrská činnost- zaškolení obsluhy</t>
  </si>
  <si>
    <t>Provozní vlivy- lešení</t>
  </si>
  <si>
    <t>Montáž čerpadla oběhového mokroběžného přírubového DN 65 jednodílné</t>
  </si>
  <si>
    <t>Montáž čerpadla oběhového mokroběžného přírubového DN 80 jednodílné</t>
  </si>
  <si>
    <t>Potrubí ocelové hladké bezešvé v kotelnách nebo strojovnách D 89x3,6</t>
  </si>
  <si>
    <t>Potrubí ocelové hladké bezešvé v kotelnách nebo strojovnách D 108x4,0</t>
  </si>
  <si>
    <t>Filtr DN 80 PN 16 do 300°C z uhlíkové oceli s vypouštěcí přírubou</t>
  </si>
  <si>
    <t>Potrubí vodovodní plastové PPR svar polyfuze PN 20 D 90 x 15,0 mm</t>
  </si>
  <si>
    <t>izolace nádob ti.32mm</t>
  </si>
  <si>
    <t>m2</t>
  </si>
  <si>
    <t>Hennlich spol. s r.o.</t>
  </si>
  <si>
    <t>Českolipská  9</t>
  </si>
  <si>
    <t>Litoměřice</t>
  </si>
  <si>
    <t xml:space="preserve"> 11/2022</t>
  </si>
  <si>
    <t>Č. pol.</t>
  </si>
  <si>
    <t>Popis položky</t>
  </si>
  <si>
    <t>Množ.</t>
  </si>
  <si>
    <t>Jedn.</t>
  </si>
  <si>
    <t>Jedn.cena</t>
  </si>
  <si>
    <t>Celk.cena</t>
  </si>
  <si>
    <t>Kč</t>
  </si>
  <si>
    <t>Vypracoval: Ing. Karel Kodiš</t>
  </si>
  <si>
    <t>Strojovna tepelných čerpadel</t>
  </si>
  <si>
    <t>PS 01-2 Strojovna tepelných čerpadel</t>
  </si>
  <si>
    <t>DPH 21 %</t>
  </si>
  <si>
    <t>Celkem vč. DPH</t>
  </si>
  <si>
    <t>Teploměr technický í připojení průměr 63 mm délky 100 mm</t>
  </si>
  <si>
    <t>Grundfos  TP 80-90/4 A-F-A-BQQE-HW3</t>
  </si>
  <si>
    <t>Grundfos TP 65-120/2 A-F-A-BQQE-GW1, 3f  1,1 kW</t>
  </si>
  <si>
    <t>Rozebiratelný deskový výmění- chlazení 545 kW</t>
  </si>
  <si>
    <t>Rozebiratelný deskový výmění- ohřev bazénové vody 199 kW</t>
  </si>
  <si>
    <t>Tepelné čerpadlo  DS5235.5T voda-/voda  238 kW (10/35)</t>
  </si>
  <si>
    <t>Montáž tepelného čerpadla  268 kW</t>
  </si>
  <si>
    <t>kpl</t>
  </si>
  <si>
    <t>Potrubí ocelové závitové bezešvé zesílené v kotelnách nebo strojovnách DN25</t>
  </si>
  <si>
    <t xml:space="preserve">Kulový  kohout DN 65, ON-OFF , servopohon 240V </t>
  </si>
  <si>
    <t xml:space="preserve">Klapka mezipřírubová DN 100, ON-OFF , servopohon 240V </t>
  </si>
  <si>
    <t>Klapka mezipřírubová DN 125</t>
  </si>
  <si>
    <t>Rozdělovací armatura závitová trojcestná DN 65 se servopohorem</t>
  </si>
  <si>
    <t>Nádoba tlaková expanzní s membránou S18/10 závitové připojení PN 1 o objemu 18 litrů</t>
  </si>
  <si>
    <t>Nádoba tlaková expanzní s membránou NG 25/6</t>
  </si>
  <si>
    <t>Zkouška těsnosti potrubí ocelové hladké přes D 60,3x2,9 do D 108x4,0</t>
  </si>
  <si>
    <t>Grundfos  TPE 80-90/4 A-F-A-BQQE-HW3</t>
  </si>
  <si>
    <t>Regulační í ventil  DN40  kv=20m3/h,MPBus, servopohon</t>
  </si>
  <si>
    <t>Klapka  závitová zpětná přímá G 2  PN 16 do 110°C</t>
  </si>
  <si>
    <t>Ventil závitový pojistný rohový G 2 o,p 4 bar</t>
  </si>
  <si>
    <t>Ventil závitový pojistný rohový G 6/4, o.p. 2,5 bar</t>
  </si>
  <si>
    <t xml:space="preserve">Klapka mezipřírubová uzavírací DN 100 PN 16 do 120°C </t>
  </si>
  <si>
    <t>Tlakoměr s  tlak 0-16 bar průměr 63 mm spodní připojení</t>
  </si>
  <si>
    <t>Manometrický kohout M20*1,5</t>
  </si>
  <si>
    <t>Akumulační nádrž montáž hrdel do DN 125</t>
  </si>
  <si>
    <t>Kompenzátor pro ocelové potrubí přírubový  DN 65  PN 16 do 90°C závitový</t>
  </si>
  <si>
    <t>Montážní materiál : příruby, šrouby, závěsy</t>
  </si>
  <si>
    <t>izolace kaučuk 108*20 mm</t>
  </si>
  <si>
    <t>izolace kaučuk 125*20</t>
  </si>
  <si>
    <t>izolace kaučuk 76*20mm</t>
  </si>
  <si>
    <t xml:space="preserve">    733 - Ústřední vytápění - rozvodné potrubí svařované včetně tvarovek </t>
  </si>
  <si>
    <t xml:space="preserve">    722 - Zdravotechnika vnitřní vodovod včetně tvarovek</t>
  </si>
  <si>
    <t>Zkouška těsnosti vodovodního potrubí  do DN 100</t>
  </si>
  <si>
    <t>Přesun hmot tonážní pro ústřední vytápění v objektech v do 6 m</t>
  </si>
  <si>
    <t>Nová přípojka termální vody pro AQUACENTRUM Teplice</t>
  </si>
  <si>
    <t>Stavba:</t>
  </si>
  <si>
    <t>Místo:</t>
  </si>
  <si>
    <t>Objednatel:</t>
  </si>
  <si>
    <t>IČ:</t>
  </si>
  <si>
    <t>DIČ:</t>
  </si>
  <si>
    <t>Zhotovitel:</t>
  </si>
  <si>
    <t>Projektant: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</si>
  <si>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</si>
  <si>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</si>
  <si>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</si>
  <si>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</si>
  <si>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</si>
  <si>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</si>
  <si>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</si>
  <si>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</si>
  <si>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</si>
  <si>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Projektant</t>
  </si>
  <si>
    <t>Datum a podpis:</t>
  </si>
  <si>
    <t>Objednavatel</t>
  </si>
  <si>
    <t>KRYCÍ LIST ROZPOČTU</t>
  </si>
  <si>
    <t>Objekt:</t>
  </si>
  <si>
    <t>Ostatní náklady</t>
  </si>
  <si>
    <t xml:space="preserve">NOVÁ PŘÍPOJKA TERMÁLNÍ VODY  PRO AQUACENTRUM  TEPLICE      </t>
  </si>
  <si>
    <t>Aloise Jiráska 3149</t>
  </si>
  <si>
    <t>Aloise Jiráska 3149, 415 01 Teplice</t>
  </si>
  <si>
    <t>Českoipská 9</t>
  </si>
  <si>
    <t>AQUACENTRUM Teplice</t>
  </si>
  <si>
    <t>415 01 Teplice</t>
  </si>
  <si>
    <t>CZ14869446</t>
  </si>
  <si>
    <t>Aquacentrum Teplice -  Ing . Michael Paraska</t>
  </si>
  <si>
    <t>Českolipská 9, 412 01  Litoměřice</t>
  </si>
  <si>
    <t>Montáž atypických zámečnických konstrukcí hmotnosti do 10 kg- závěsy</t>
  </si>
  <si>
    <t>1.1.006</t>
  </si>
  <si>
    <t>Čerpadlo ponorné Grudnfos  DPK.10.50.15-5-0D24,27m3/h,  H= 11,42m, Pel 4,5 kW (3*380V)</t>
  </si>
  <si>
    <t>ks</t>
  </si>
  <si>
    <t>1.1.001</t>
  </si>
  <si>
    <t>1.1.002</t>
  </si>
  <si>
    <t>1.1.003</t>
  </si>
  <si>
    <t>1.1.004</t>
  </si>
  <si>
    <t>1.1.005</t>
  </si>
  <si>
    <t>1.1.007</t>
  </si>
  <si>
    <t>1.1.008</t>
  </si>
  <si>
    <t>1.2.001</t>
  </si>
  <si>
    <t>1.2.002</t>
  </si>
  <si>
    <t>1.2.003</t>
  </si>
  <si>
    <t>1.2.004</t>
  </si>
  <si>
    <t>1.2.005</t>
  </si>
  <si>
    <t>1.2.006</t>
  </si>
  <si>
    <t>1.2.007</t>
  </si>
  <si>
    <t>1.2.008</t>
  </si>
  <si>
    <t>1.2.009</t>
  </si>
  <si>
    <t>1.2.010</t>
  </si>
  <si>
    <t>1.2.011</t>
  </si>
  <si>
    <t>1.2.012</t>
  </si>
  <si>
    <t>1.2.013</t>
  </si>
  <si>
    <t>1.2.014</t>
  </si>
  <si>
    <t>1.2.015</t>
  </si>
  <si>
    <t>2.1.001</t>
  </si>
  <si>
    <t>2.1.002</t>
  </si>
  <si>
    <t>2.1.003</t>
  </si>
  <si>
    <t>2.1.004</t>
  </si>
  <si>
    <t>2.1.005</t>
  </si>
  <si>
    <t>2.1.006</t>
  </si>
  <si>
    <t>2.1.007</t>
  </si>
  <si>
    <t>2.1.008</t>
  </si>
  <si>
    <t>2.1.009</t>
  </si>
  <si>
    <t>2.1.010</t>
  </si>
  <si>
    <t>2.1.011</t>
  </si>
  <si>
    <t>2.1.012</t>
  </si>
  <si>
    <t>2.1.013</t>
  </si>
  <si>
    <t>2.1.014</t>
  </si>
  <si>
    <t>2.1.015</t>
  </si>
  <si>
    <t>2.1.016</t>
  </si>
  <si>
    <t>2.1.017</t>
  </si>
  <si>
    <t>2.1.018</t>
  </si>
  <si>
    <t>2.1.019</t>
  </si>
  <si>
    <t>2.1.020</t>
  </si>
  <si>
    <t>2.1.021</t>
  </si>
  <si>
    <t>2.1.022</t>
  </si>
  <si>
    <t>2.1.023</t>
  </si>
  <si>
    <t>2.1.024</t>
  </si>
  <si>
    <t>2.1.025</t>
  </si>
  <si>
    <t>2.1.026</t>
  </si>
  <si>
    <t>3.1.001</t>
  </si>
  <si>
    <t>3.1.002</t>
  </si>
  <si>
    <t>3.1.003</t>
  </si>
  <si>
    <t>3.1.004</t>
  </si>
  <si>
    <t>3.1.005</t>
  </si>
  <si>
    <t>3.1.006</t>
  </si>
  <si>
    <t>3.1.007</t>
  </si>
  <si>
    <t>3.1.008</t>
  </si>
  <si>
    <t>3.1.009</t>
  </si>
  <si>
    <t>3.1.010</t>
  </si>
  <si>
    <t>3.1.011</t>
  </si>
  <si>
    <t>Klapka  závitová zpětná přímá G 21/2"  PN 16 do 110°C</t>
  </si>
  <si>
    <t xml:space="preserve">PS 01-2/2 </t>
  </si>
  <si>
    <t xml:space="preserve">PS 01-2 ROZPOČET </t>
  </si>
  <si>
    <t>Nová přípojka termální vody pr0 AQUACENTRUM Teplice</t>
  </si>
  <si>
    <t xml:space="preserve"> PS 01 Rozpočet</t>
  </si>
  <si>
    <t xml:space="preserve">                        </t>
  </si>
  <si>
    <t>Zpracova:l Ing. Karel Kodiš</t>
  </si>
  <si>
    <t xml:space="preserve">PS01-1/2 </t>
  </si>
  <si>
    <t>1.1.</t>
  </si>
  <si>
    <t>Čerpací stanice strojní část</t>
  </si>
  <si>
    <t>Čerpadlo ponorné Grundfos SE1.50.65.30.2.50D.B Q=29,5m3/h, H=15m včetně montáže</t>
  </si>
  <si>
    <t xml:space="preserve">Frekvenční měnič CVX380-500V </t>
  </si>
  <si>
    <t>Průmyslový vodoměr WDE- K40,DN65,SV</t>
  </si>
  <si>
    <t>Impulsní kabel pro průmyslový vodoměr WDE K, IWM-TX4</t>
  </si>
  <si>
    <t xml:space="preserve">Automatický filtr  AF Aqua Global </t>
  </si>
  <si>
    <t>Čerpadlo ponorné Grudnfos  DPK.10.50.15-5-0D24,27m3/h,  H= 11,42m, Pel 4,5 kW (3*380V) včetně montáže</t>
  </si>
  <si>
    <t>1.2.</t>
  </si>
  <si>
    <t xml:space="preserve">Potrubí zPEHD/Pe100 SDR17  PN 10 spojené  svařováním  vč. Elektrotvarovek a spojovacího materiálu </t>
  </si>
  <si>
    <t>PEHD potrubí 110*6,6 Tyče 6m (10,5m)</t>
  </si>
  <si>
    <t xml:space="preserve">PEHD potrubí 110*6,6 Tyče 6m </t>
  </si>
  <si>
    <t>PEHD elektrofůzní koleno 90°, DN100</t>
  </si>
  <si>
    <t xml:space="preserve">PEHD elektrofůzní T kus </t>
  </si>
  <si>
    <t>PEHD lemový nákružek DN100, l=86mm</t>
  </si>
  <si>
    <t>PEHD lemový nákružek DN65, l=75mm</t>
  </si>
  <si>
    <t>PEHD redukce DN200/100</t>
  </si>
  <si>
    <t>PEHD redukce DN100/65</t>
  </si>
  <si>
    <t>PEHD potrubí 65*3,2 (10m)</t>
  </si>
  <si>
    <t>bm</t>
  </si>
  <si>
    <t>PEHD  elektrofůzní  koleno 45°,DN65</t>
  </si>
  <si>
    <t>PEHD  elektrofůzní  koleno 90°,DN65</t>
  </si>
  <si>
    <t>Materiál 1.4301 (nerez)</t>
  </si>
  <si>
    <t>Točivá příruba DN100-PN10,  DIN 2642</t>
  </si>
  <si>
    <t>Točivá příruba DN65-PN10,  DIN 2642</t>
  </si>
  <si>
    <t>koleno přivařovací 70 *2</t>
  </si>
  <si>
    <t>Redukce 108,0/76,1*2</t>
  </si>
  <si>
    <t>přivařovací příruba plochá DIN 2576 DN 65 /PN10/76,1 b=10</t>
  </si>
  <si>
    <t>1.2.016</t>
  </si>
  <si>
    <t>přivařovací příruba plochá DIN 2576 DN 100 /PN10/108 b=10</t>
  </si>
  <si>
    <t xml:space="preserve">Spojovací materiá - 1.4301 </t>
  </si>
  <si>
    <t>1.2.017</t>
  </si>
  <si>
    <t>šrouby M16/70</t>
  </si>
  <si>
    <t>1.2.018</t>
  </si>
  <si>
    <t>matice M16</t>
  </si>
  <si>
    <t>1.2.019</t>
  </si>
  <si>
    <t>podložka přesná M16</t>
  </si>
  <si>
    <t>1.2.020</t>
  </si>
  <si>
    <t>závitová tyč nerez M10 ,6,64m</t>
  </si>
  <si>
    <t>1.2.021</t>
  </si>
  <si>
    <t>šrouby M8/45</t>
  </si>
  <si>
    <t>1.2.022</t>
  </si>
  <si>
    <t>Matice M8</t>
  </si>
  <si>
    <t>1.2.023</t>
  </si>
  <si>
    <t>Podložka přesná M 8</t>
  </si>
  <si>
    <t>1.2.024</t>
  </si>
  <si>
    <t>objímka FRS - L 111-119 Universal 4"DN100</t>
  </si>
  <si>
    <t>1.2.025</t>
  </si>
  <si>
    <t>objímka FRS - L 111-119 Universal 8"DN200</t>
  </si>
  <si>
    <t>1.2.026</t>
  </si>
  <si>
    <t>montáž  závěsných tyčí M10  do stropu - beton</t>
  </si>
  <si>
    <t>Montáž zámečnických konstrukcí</t>
  </si>
  <si>
    <t>1.2.027</t>
  </si>
  <si>
    <t>Montáž atypických zámečnických konstrukcí hmotnosti do 50 kg</t>
  </si>
  <si>
    <t>1.2.028</t>
  </si>
  <si>
    <t>Podpora filtru   atyp. konstrukce profil 80*7  - celkem 3m, 80*5 1,6m, jakl 25*25*2 -2m</t>
  </si>
  <si>
    <t>1.2.029</t>
  </si>
  <si>
    <t>svařování , broušení  HZS</t>
  </si>
  <si>
    <t>1.2.030</t>
  </si>
  <si>
    <t>1x základní antikorozní  syntetický,1xkrycí  syntetický nátěr</t>
  </si>
  <si>
    <t>Litinové potrubí</t>
  </si>
  <si>
    <t>1.2.031</t>
  </si>
  <si>
    <t>Litinové potrubí DN 65 odbočka 65/65</t>
  </si>
  <si>
    <t>1.2.032</t>
  </si>
  <si>
    <t>Koleno DN65 /45°</t>
  </si>
  <si>
    <t>1.2.033</t>
  </si>
  <si>
    <t>trubka DN65-500</t>
  </si>
  <si>
    <t>1.2.034</t>
  </si>
  <si>
    <t>trubka DN65-150 volná příruba</t>
  </si>
  <si>
    <t>1.3.</t>
  </si>
  <si>
    <t>Kryt šachty materiál PPR deka 15mm</t>
  </si>
  <si>
    <t>1.3.001</t>
  </si>
  <si>
    <t xml:space="preserve">Atyp svařenec 1240*1130 výroba montáž </t>
  </si>
  <si>
    <t>HZS</t>
  </si>
  <si>
    <t>1.3.002</t>
  </si>
  <si>
    <t>Atyp svařenec1530*1130 výroba a montáž</t>
  </si>
  <si>
    <t>1.3.003</t>
  </si>
  <si>
    <t>Deska 15* 2000*1000</t>
  </si>
  <si>
    <t>1.4.</t>
  </si>
  <si>
    <t>Armatury</t>
  </si>
  <si>
    <t>1.4.001</t>
  </si>
  <si>
    <t>Ventil uzavírací přímý V30 111 616 Dn100 PN10</t>
  </si>
  <si>
    <t>1.4.002</t>
  </si>
  <si>
    <t>Ventil uzavírací přímý V30 111 616 Dn65PN10</t>
  </si>
  <si>
    <t>1.4.003</t>
  </si>
  <si>
    <t>Zpětná klapka přírubová   DN100 PN10</t>
  </si>
  <si>
    <t>1.4.004</t>
  </si>
  <si>
    <t>Zpětná klapka  přírubová   DN65 PN10</t>
  </si>
  <si>
    <t>1.4.005</t>
  </si>
  <si>
    <t>Montáž jímek pro 2 teploměry a  2 tlakoměry dle dispozic  MaR</t>
  </si>
  <si>
    <t>1.4.006</t>
  </si>
  <si>
    <t>Teploměr  1/2"axiální 0-60°C T801 průměr 100mm</t>
  </si>
  <si>
    <t>1.4.007</t>
  </si>
  <si>
    <t>Manometr 1/4" radiální  spodní vývod 0-10 bar průměr 100 mm</t>
  </si>
  <si>
    <t>1.4.008</t>
  </si>
  <si>
    <t>Trojcestný ventil pro připojení  manometrů s kompenzační  smyčkou</t>
  </si>
  <si>
    <t>1.5.001</t>
  </si>
  <si>
    <t>Demontáže stávajícího zařízení  k likvidaci</t>
  </si>
  <si>
    <t>1.5.002</t>
  </si>
  <si>
    <t>odvoz materiálu do 15 km</t>
  </si>
  <si>
    <t>Část 1.</t>
  </si>
  <si>
    <t>PS 01 Strojní část čerpací stanice Kamenné lázně</t>
  </si>
  <si>
    <t>Čerpací jímka Kamenné lázně</t>
  </si>
  <si>
    <t>Zadání položky nutno konzultovat se spol. HENNLICH s.r.o.</t>
  </si>
  <si>
    <t>Jedná se o dodání a instalaci napojení TUV zvýměníku  umístěného ve strojovně tepelných čerpadel do bazénů.</t>
  </si>
  <si>
    <t>Název stavby:</t>
  </si>
  <si>
    <t>Nová přípojka termální vody pro Aquacentrum Teplice</t>
  </si>
  <si>
    <t>Název objektu:</t>
  </si>
  <si>
    <t>Čerpací stanice Kamenné lázně</t>
  </si>
  <si>
    <t>Zkratka objektu:</t>
  </si>
  <si>
    <t>ČS-KL</t>
  </si>
  <si>
    <t>Název dílu:</t>
  </si>
  <si>
    <t>Měření a regulace, elektroinstalace</t>
  </si>
  <si>
    <t>Zkratka dílu:</t>
  </si>
  <si>
    <t>Zpracovatel dílu:</t>
  </si>
  <si>
    <t>Aveo, s.r.o.</t>
  </si>
  <si>
    <t>Čís. pol.</t>
  </si>
  <si>
    <t>Oz.položky</t>
  </si>
  <si>
    <t>Počet měr. jednotek</t>
  </si>
  <si>
    <t>Měrná jednotka</t>
  </si>
  <si>
    <t>Jednotková cena dodávka v Kč</t>
  </si>
  <si>
    <t>Jednotková cena montáž v Kč</t>
  </si>
  <si>
    <t>Celková              cena v Kč</t>
  </si>
  <si>
    <t>Technické specifikace, technické a uživatelské standardy stavby</t>
  </si>
  <si>
    <t>X</t>
  </si>
  <si>
    <t>Rozváděče</t>
  </si>
  <si>
    <t>1.</t>
  </si>
  <si>
    <t>RMH1</t>
  </si>
  <si>
    <t>Skříňový rozvaděč 2000x1000x400, vč. soklu 100mm</t>
  </si>
  <si>
    <t>Skříňový rozváděč s otev. dveřmi, rozměry  2000x1000x400, včetně soklu o výšce 100mm, oceloplechový, lakovaný, IP54, kompletně elektricky vyzbrojený, bez řídícího systému</t>
  </si>
  <si>
    <t>2.</t>
  </si>
  <si>
    <t>RMFM</t>
  </si>
  <si>
    <t>Nástěnný rozvaděč 600x600x250</t>
  </si>
  <si>
    <t>Nástěnný rozváděč s otev. dveřmi, rozměry 600x600x250, oceloplechový, lakovaný, IP54, kompletně elektricky vyzbrojený, včetně odvětrávacích mřízek
určen pro zabudování FM čerpadla MČ1</t>
  </si>
  <si>
    <t>3.</t>
  </si>
  <si>
    <t>RKOMx</t>
  </si>
  <si>
    <t>Rack 10" 6U/280 mm (sklo) šedý</t>
  </si>
  <si>
    <t>Rack 10" 6U/280 mm, šedý, oceloplechový, lakovaný, kompletně vyzbrojený, bez prvků pospaných níže</t>
  </si>
  <si>
    <t>Řídící systém - RMH1</t>
  </si>
  <si>
    <t>CGExx</t>
  </si>
  <si>
    <t>Volně programovatelný regulátor s webserverem</t>
  </si>
  <si>
    <t>volně programovatelný regulátor, plnohodnotně komunikující s datovým a aplikačním serverem Johnson Controls protokolem BACNET IP - Metasys ADS verze 11.x a vyšší, včetně nastavení, adresace, oživení a připojení na komunikační sběrnici. Regulátor obsahuje 18-bodový vstupně výstupních bodů (7UI, 2BI, 2AO, 3BO, 4CO)</t>
  </si>
  <si>
    <t>XPMxx</t>
  </si>
  <si>
    <t>Rozšiřující modul pro připojení I/O bodů, 18 bodový</t>
  </si>
  <si>
    <t>Rozšiřující modul 18-bodový  IOM, 7UI, 2DI, 2AO, 4CO, 3DO, 24 VAC, komunikace BACNET</t>
  </si>
  <si>
    <t>Rozšiřující modul 18-bodový  IOM, 18 DI, 24 VAC, komunikace BACNET</t>
  </si>
  <si>
    <t>4.</t>
  </si>
  <si>
    <t>DLKxxx</t>
  </si>
  <si>
    <t>Displej k regulátoru CGx</t>
  </si>
  <si>
    <t>Displej k regulátoru CGx, LCD displej podsvícený, uživatelsky nastavitelný, chráněný heslem, připojitelný na sběrnici SA, Bacnet SMTP</t>
  </si>
  <si>
    <t>Výzbroj Racků - RKOMx</t>
  </si>
  <si>
    <t>Optická vana 1U, 10'', 8xSC</t>
  </si>
  <si>
    <t>Optická vana 1U, 10'', hl. 250mm, včetně 8ks SC, včetně kazet</t>
  </si>
  <si>
    <t>Router Board CRS106-1C-5S</t>
  </si>
  <si>
    <t>Router 5x SFP, 1x SFP+, 1x Combo, Gbit, včetně RouterOS L5</t>
  </si>
  <si>
    <t>Mikrotik SFP metalický modul, RJ-45</t>
  </si>
  <si>
    <t>Mikrotik SFP optický modul, SM</t>
  </si>
  <si>
    <t>5.</t>
  </si>
  <si>
    <t>Optický patch kabel, 1m</t>
  </si>
  <si>
    <t>Optický patch kabel, SM, 9/125, G.657.1, délka 1m</t>
  </si>
  <si>
    <t>Periferie MaR</t>
  </si>
  <si>
    <t>TT01,02</t>
  </si>
  <si>
    <t>Snímač teploty s jímkou, dodávka, montáž, připojení</t>
  </si>
  <si>
    <t>Měřicí převodník teploty s moaznou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</si>
  <si>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PT01,02</t>
  </si>
  <si>
    <t>Snímač tlaku do potrubí, včetně manometrického zkušebního kohoutu, dodávka, montáž, připojení</t>
  </si>
  <si>
    <t xml:space="preserve">Převodník tlaku, rozsah měření -1 až 8 bar, tlak. připojení 1/4" SAE, vnější závit, výstup 4-20mA, napájení 15 VDC, el. připojení kabel 2 m,  včetně jeho montáže do připraveného návarku (realizaci návarku respektive manometrové smyčky řeší technologie), a včetně montážního materiálu potřebného k jeho instalaci. </t>
  </si>
  <si>
    <t>TT/HT91</t>
  </si>
  <si>
    <t>Kombinovaný prostorový snímač teploty a rel. vlhkosti</t>
  </si>
  <si>
    <t>Prostorový snímač teploty, rozsah -20-80°C, 0-100%rH, výstupní signál 2x0-10V,  napájení 24V AC, IP56, venkvoní provedení, včetně montážního materiálu potřebného k jeho instalaci, včetně připojení</t>
  </si>
  <si>
    <t>LT01</t>
  </si>
  <si>
    <t>Kapacitní hladinoměr, 0-10V, včetně nerezového držáku</t>
  </si>
  <si>
    <t>Kapacitní hladinoměr vč. nerezového držáku a instalace, (24VDC,  0-10V), včetně připojení</t>
  </si>
  <si>
    <t>Vyhodnocovací relé dvou hladin (MIN, MAX)</t>
  </si>
  <si>
    <t>Vyhodnocovací relé dvou hladin (MIN, MAX), vestavěné v rozvaděči</t>
  </si>
  <si>
    <t>6.</t>
  </si>
  <si>
    <t>LAL01, LAH01</t>
  </si>
  <si>
    <t>Hladinová sonda</t>
  </si>
  <si>
    <t>Limitní hladinová sonda (min, max, aspolečná anoda), včetně instalace a připojení</t>
  </si>
  <si>
    <t>7.</t>
  </si>
  <si>
    <t>LAL91</t>
  </si>
  <si>
    <t>Sonda zaplavení pro odb. jímku Beethoven</t>
  </si>
  <si>
    <t>Sonda zaplavení pro odb. jímku Beethoven, včetně instalace a připojení</t>
  </si>
  <si>
    <t>8.</t>
  </si>
  <si>
    <t>V1</t>
  </si>
  <si>
    <r>
      <t xml:space="preserve">Uzav. Klapka ; DN100,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</si>
  <si>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DN100, vč. elektrického pohonu s kontakty krajních poloch, poruchy (ovl. ON/OFF, 230VAC/24VAC, krytí IP54) - dodávka technologie, pouze připojení</t>
  </si>
  <si>
    <t>9.</t>
  </si>
  <si>
    <t>V2,3</t>
  </si>
  <si>
    <r>
      <t xml:space="preserve">Uzav. Klapka ; DN200, vč. elektrického pohonu s kontakty krajních poloch, poruchy (ovl. ON/OFF, 230VAC/24VAC, krytí IP54) - </t>
    </r>
    <r>
      <rPr>
        <b/>
        <sz val="12"/>
        <rFont val="Times New Roman CE"/>
        <charset val="238"/>
      </rPr>
      <t>dodávka technologie, pouze připojení</t>
    </r>
  </si>
  <si>
    <t>Uzav. Klapka ; DN200, vč. elektrického pohonu s kontakty krajních poloch, poruchy (ovl. ON/OFF, 230VAC/24VAC, krytí IP54) - dodávka technologie, pouze připojení</t>
  </si>
  <si>
    <t>10.</t>
  </si>
  <si>
    <t>HAVTL</t>
  </si>
  <si>
    <t>Ovladač v plastové skříňce - havarijní odstavení</t>
  </si>
  <si>
    <t>Ovladač se signálkou v plastové skříňce, venkovní provedení</t>
  </si>
  <si>
    <t>11.</t>
  </si>
  <si>
    <t>MČ1,2</t>
  </si>
  <si>
    <t>Připojení čerpadel</t>
  </si>
  <si>
    <t>Připojení čerpadel s vlastním kabelem</t>
  </si>
  <si>
    <t>12.</t>
  </si>
  <si>
    <t>FM MČ1</t>
  </si>
  <si>
    <r>
      <t xml:space="preserve">Připojení frekvenčních měničů, </t>
    </r>
    <r>
      <rPr>
        <b/>
        <sz val="12"/>
        <rFont val="Times New Roman"/>
        <family val="1"/>
        <charset val="238"/>
      </rPr>
      <t>dodávka technologie</t>
    </r>
  </si>
  <si>
    <t>Připojení frekvenčních měničů, dodávka technologie</t>
  </si>
  <si>
    <t>13.</t>
  </si>
  <si>
    <t>MF1</t>
  </si>
  <si>
    <r>
      <t xml:space="preserve">AF 800 AQUA GLOBAL + FILTRON 1-10,  </t>
    </r>
    <r>
      <rPr>
        <b/>
        <sz val="12"/>
        <rFont val="Times New Roman"/>
        <family val="1"/>
        <charset val="238"/>
      </rPr>
      <t>pouze připojení napájení, dodávka technologie</t>
    </r>
  </si>
  <si>
    <t>Připojení napájení k filtru hrubých nečistot, přivést a připojit napájení</t>
  </si>
  <si>
    <t>14.</t>
  </si>
  <si>
    <t>QH01</t>
  </si>
  <si>
    <r>
      <t xml:space="preserve">Připojení impulsního výstupu vodoměru, </t>
    </r>
    <r>
      <rPr>
        <b/>
        <sz val="12"/>
        <rFont val="Times New Roman"/>
        <family val="1"/>
        <charset val="238"/>
      </rPr>
      <t>dodávka technologie</t>
    </r>
  </si>
  <si>
    <t>Připojení impulsního výstupu vodoměru, dodávka technologie</t>
  </si>
  <si>
    <t>15.</t>
  </si>
  <si>
    <t>Připojení motorových spotřebičů do 2kW</t>
  </si>
  <si>
    <t>Připojení motorových spotřebičů do 2kW (Ventilátory odvětrání strojovny - stávajicí)</t>
  </si>
  <si>
    <t>Prvky objektové elektroinstalace</t>
  </si>
  <si>
    <t>Kombinace zásuvková ( 3× 230 V 2× 400 V) do strojovny technologie</t>
  </si>
  <si>
    <t>Kombinace zásuvková ( 3× 230 V 2× 400 V), včetně zapojení a instalace</t>
  </si>
  <si>
    <t>Svítidlo přisazené průmyslové, 2trubice LED 2x18W</t>
  </si>
  <si>
    <t>Spínač 1P, nástěnný</t>
  </si>
  <si>
    <t>Spínač 1P, montáž, připojení</t>
  </si>
  <si>
    <t>dvouzásuvka – bílá, nástěnná</t>
  </si>
  <si>
    <t>dvouzásuvka – bílá, montáž připojení</t>
  </si>
  <si>
    <t>SOFTWARE</t>
  </si>
  <si>
    <t>Propojení a parametrizace stávajícího systému MaR s se systémem MaR pro řízení ČS-KL</t>
  </si>
  <si>
    <t>Vypracování uživatelských SW pro regulátory ČS-KL</t>
  </si>
  <si>
    <t>Vizualizace na stávajicí centrální stanici - vypracování dynamických obrazovek</t>
  </si>
  <si>
    <t>Vizualizace - vypracování dynamických obrazovek</t>
  </si>
  <si>
    <t>Vypracování archivů histor. dat a trendů</t>
  </si>
  <si>
    <t>Vypracování archivů alarmových hlášení</t>
  </si>
  <si>
    <t>Vypracování systémových úvodních obrazovek, úprava stávajících přehledových obrazovek - vazby nové technologie na stávajicí technologie</t>
  </si>
  <si>
    <t>Parametrizace stávající technologické ethernetové sítě systému MaR</t>
  </si>
  <si>
    <t>Parametrizace stávající technologické ethernetové sítě systému MaR postavené na routerboardech Mikrotik</t>
  </si>
  <si>
    <t>Kabely a vodiče</t>
  </si>
  <si>
    <t>Kabel J-Y(St)Y 1x2x0,8; dodávka</t>
  </si>
  <si>
    <t>Slaboproudý kabel stíněný, párovaný, twistovaný</t>
  </si>
  <si>
    <t>Kabel J-Y(St)Y 2x2x0,8; dodávka</t>
  </si>
  <si>
    <t>Kabel J-Y(St)Y 4x2x0,8; dodávka</t>
  </si>
  <si>
    <t>Kabel JYTY 4x1; dodávka</t>
  </si>
  <si>
    <t>Kabel CYKY 3x1,5; dodávka</t>
  </si>
  <si>
    <t>Silový kabel 5 žilový, průřez žil 1,5 mm2</t>
  </si>
  <si>
    <t>Kabel CYKY 3x2,5; dodávka</t>
  </si>
  <si>
    <t>Silový kabel 5 žilový, průřez žil 2,5 mm2</t>
  </si>
  <si>
    <t>Kabel CYKY 5x2,5; dodávka</t>
  </si>
  <si>
    <t>Silový kabel 4 žilový, průřez žil 2,5 mm2</t>
  </si>
  <si>
    <t>Kabel UTP cat. 5e; dodávka</t>
  </si>
  <si>
    <t>Kabel UTP cat. 6a</t>
  </si>
  <si>
    <t>kabel TCEPKPFLE 1x4x0,8</t>
  </si>
  <si>
    <t>Slaboproudý kabel stíněný, zemní</t>
  </si>
  <si>
    <t>Kabel CYKY 7x1,5; dodávka</t>
  </si>
  <si>
    <t>Silový kabel 7 žilový, průřez žil 1,5 mm2</t>
  </si>
  <si>
    <t>Montáž kabelů a vodičů</t>
  </si>
  <si>
    <t>Montážní práce a materiál-trubky, žlaby, rošty, přip. armatury atd.</t>
  </si>
  <si>
    <t xml:space="preserve">Elektroinstal.trubka pevná </t>
  </si>
  <si>
    <t>Elektroinstal.trubka ohebná</t>
  </si>
  <si>
    <t>Chránička do země 50mm</t>
  </si>
  <si>
    <t>Kabelový žlab 125/50 vč.víka, nosníků a podpěr</t>
  </si>
  <si>
    <t>Kabelový žlab 62/50 vč.víka, nosníků a podpěr</t>
  </si>
  <si>
    <t>Vodič nn a vn CY 6 mm2 uložený volně</t>
  </si>
  <si>
    <t>Výstražná fólie do výkopu, šířka 300mm</t>
  </si>
  <si>
    <t>Drobný montážní materiál</t>
  </si>
  <si>
    <t>Montáž kabelových tras vč.nosných konstrukcí</t>
  </si>
  <si>
    <t>Pokládka metalického vedení ve výkopu mezi ČS-KL a odbočovací jímkou Beethoven</t>
  </si>
  <si>
    <t>Pokládka metalického vedrení ve výkopu mezi ČS-KL a odbočovací jímkou Beethoven</t>
  </si>
  <si>
    <t>Demontáž stávajícího systému MaR a elektroinstalace, včetně ekologické likvidace</t>
  </si>
  <si>
    <t>Demontáž stávajícího systému MaR a lektroinstalace, včetně ekologické likvidace</t>
  </si>
  <si>
    <t>Optické propojení ČS-KL - AQC TEPLICE</t>
  </si>
  <si>
    <t>Chránička do země pr. 40mm</t>
  </si>
  <si>
    <t>Chránička do země pr. 40mm, husí krk pro zvýšenou ochranu optického vedení v exponovaných místech vedení - např. křížení inženýrských sítí</t>
  </si>
  <si>
    <t>Chránička optického kabelu, HDPE, vn.pr. 25mm, včetně přísluš.</t>
  </si>
  <si>
    <t>Chránička optického kabelu, HDPE, pr. 25mm, provedení pro přímou pokldáku do země, včetně potřebných spojek a koncovek</t>
  </si>
  <si>
    <t>Mikrotrubička 5/3,5 včetně příslušenství</t>
  </si>
  <si>
    <t>Optický kabel 8vl., SM, 9/125, G.657A</t>
  </si>
  <si>
    <t>Optický kabel 8vl., SM, 9/125, HDPE, G.657A1, pr. cca 1,2mm</t>
  </si>
  <si>
    <t>Pokládka ochranné trubky HDPE, včetně průběžného zavíčkovávání</t>
  </si>
  <si>
    <t>Kalibrace trasy před záfukem</t>
  </si>
  <si>
    <t>Zatežení/záfuk MT úsek do 1km</t>
  </si>
  <si>
    <t>Záfuk OK do 8vl. úsek do 1km</t>
  </si>
  <si>
    <t xml:space="preserve">Svaření optického vlákna </t>
  </si>
  <si>
    <t>Měření vlákna vč. protokolu</t>
  </si>
  <si>
    <t>Komunikační WiFi propojení obkektu hydroforu a AQC TCE</t>
  </si>
  <si>
    <t>Mikrotik CubeG-5ac60ad, Wifi bezdrátové pojítko</t>
  </si>
  <si>
    <t>Wifi bezdrátová pojítka 60Ghz, záložní 5GHz, napájení POE, dosah 800m, spotřeba 9W, venkovní provedení</t>
  </si>
  <si>
    <t>Instalace pojítek na střechách objektů, včetně dodávky veškerého potřebného materiálu pro jejich uchycení a prokabelování</t>
  </si>
  <si>
    <t>Oživení Wifi komunikace, včetně parametrizace bezdrátové sítě</t>
  </si>
  <si>
    <t>Kompletace, revize a zkoušky</t>
  </si>
  <si>
    <t>TEST 1:1 kontrola správnosti přenášených signálů, odladění SW s technologií</t>
  </si>
  <si>
    <t>TEST 1:1 kontrola správnosti přenášených signálů</t>
  </si>
  <si>
    <t>Zaškolení obsluhy</t>
  </si>
  <si>
    <t>Revize el. zařízení vč. revizní zprávy pro rozvaděčě</t>
  </si>
  <si>
    <t>Revize el. zařízení vč. revizní zprávy pro rozvaděč</t>
  </si>
  <si>
    <t>Koordinace s ostatními profesemi, inženýrská činnost dodavatele, řízení zakázky</t>
  </si>
  <si>
    <t xml:space="preserve">Vypracování realizační (dílenské) dokumentace </t>
  </si>
  <si>
    <t>Vypracování dokumentace skutečného stavu</t>
  </si>
  <si>
    <t>Administrativa, VRN, doprava</t>
  </si>
  <si>
    <t>Celková nabídková cena bez DPH</t>
  </si>
  <si>
    <t>PS 02-2 Elektro a MaR úprava strojnovny TČ</t>
  </si>
  <si>
    <t>PS 02 Elekro a MaR čerpací stanice Kamenné lázně</t>
  </si>
  <si>
    <t>ÚPRAVA STROJOVNY TČ</t>
  </si>
  <si>
    <t>RUT3 (RTC6)</t>
  </si>
  <si>
    <t>Skříňový rozvaděč 2000x600x400, vč. soklu 100mm - silové pole</t>
  </si>
  <si>
    <r>
      <t xml:space="preserve">Skříňový rozváděč s otev. dveřmi, rozměry  2000x600x400, včetně soklu o výšce 100mm, oceloplechový, lakovaný, IP54, </t>
    </r>
    <r>
      <rPr>
        <b/>
        <sz val="12"/>
        <rFont val="Times New Roman"/>
        <family val="1"/>
        <charset val="238"/>
      </rPr>
      <t>kompletně elektricky vyzbrojený dle výkresové dokumentace</t>
    </r>
    <r>
      <rPr>
        <sz val="12"/>
        <rFont val="Times New Roman"/>
        <family val="1"/>
        <charset val="238"/>
      </rPr>
      <t>, bez řídícího systému</t>
    </r>
  </si>
  <si>
    <t>RUT3</t>
  </si>
  <si>
    <t>Skříňový rozvaděč 2000x600x400, vč. soklu 100mm - pole MAR</t>
  </si>
  <si>
    <t>Skříňový rozváděč s otev. dveřmi, rozměry  2000x600x400, včetně soklu o výšce 100mm, oceloplechový, lakovaný, IP54, kompletně elektricky vyzbrojený, bez řídícího systému</t>
  </si>
  <si>
    <t>RUT1</t>
  </si>
  <si>
    <t>Úprava a dozbrojení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</si>
  <si>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úpravy v zapojení v části nakládání s chladem u TČ2, 4 a 5 a upgradu síťové jednotky NIE2960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a úpravou v distrubuci chladu</t>
    </r>
  </si>
  <si>
    <t>RTC5</t>
  </si>
  <si>
    <t>Úprava a přezbrojení u stávajícího skříňového rozváděče v rozsahu popsaném v projektové dokumentaci (technická zprává, výkresová dokumentace), včetně materiálu a elektrovýzbroje</t>
  </si>
  <si>
    <r>
      <t xml:space="preserve">Úprava stávajícího skříňového rozváděče v rozsahu popsaném v projektové dokumentaci (technická zprává, výkresová dokumentace), </t>
    </r>
    <r>
      <rPr>
        <b/>
        <sz val="12"/>
        <rFont val="Times New Roman"/>
        <family val="1"/>
        <charset val="238"/>
      </rPr>
      <t>kompletně elektricky vyzbrojený</t>
    </r>
    <r>
      <rPr>
        <sz val="12"/>
        <rFont val="Times New Roman"/>
        <family val="1"/>
        <charset val="238"/>
      </rPr>
      <t xml:space="preserve"> dle výkresové dokumentace, úpravy v zapojení v části napájení podávacích čerpadel chladu</t>
    </r>
  </si>
  <si>
    <t>HR - 2.P.</t>
  </si>
  <si>
    <t>Úprava a dozbrojení u stávajícího skříňového rozváděče v rozsahu popsaném v projektové dokumentaci (technická zprává, výkresová dokumentace), včetně materiálu a elektrovýzbroje</t>
  </si>
  <si>
    <t>Úprava a dozbrojení u stávajícího skříňového rozváděče v rozsahu popsaném v projektové dokumentaci (technická zprává, výkresová dokumentace) - doplnění silového vývodu pro rozvadče RUT3</t>
  </si>
  <si>
    <t>Řídící systém - RUT3</t>
  </si>
  <si>
    <t>SNCxx</t>
  </si>
  <si>
    <t>Síťová jednotka - volně programovatelný regulátor s webserverem</t>
  </si>
  <si>
    <t>Nadřazená síťová řídící jednotka s možností připojení až 50 zařízení na sběrnici FC Bus (BACNET MS/TP), plnohodnotně komunikující s datovým a aplikačním serverem Johnson Controls protokolem BACNET IP - Metasys ADS verze 11.x a vyšší, včetně nastavení, adresace, oživení a připojení na komunikační sběrnici. Jednotka obsahuje 28-bodový DDC regulátor (10UI, 6BI, 4BO, 4CO, 4AO)</t>
  </si>
  <si>
    <t>CGMxx</t>
  </si>
  <si>
    <t>Volně programovatelný regulátor</t>
  </si>
  <si>
    <t>SW06</t>
  </si>
  <si>
    <t>Datový přepínač k displeji</t>
  </si>
  <si>
    <t>Datový přepínač k displeji pro 6ks regulátorů</t>
  </si>
  <si>
    <t>Routerboard - 5× LAN</t>
  </si>
  <si>
    <t>WiFi 2,4 GHz, WiFi 4 (WiFi 802.11 b/g/n), CPU 600 MHz, 5 × LAN 100 Mb/s, 1 × USB, napájení přes adaptér a PoE</t>
  </si>
  <si>
    <t>TCP2RTU převodník</t>
  </si>
  <si>
    <t>TCP2RTU: Převodník MODBUS TCP na RTU/ASCII - inrtegrace tepelného čerpadla a systému dávkování bazénové technologie</t>
  </si>
  <si>
    <t>Řídící systém - doplnění RUT1</t>
  </si>
  <si>
    <t>IOMxx</t>
  </si>
  <si>
    <t>Rozšiřující modul pro připojení I/O bodů, 6 bodový</t>
  </si>
  <si>
    <t>Rozšiřující modul 6-bodový  IOM, 2UO, 2CO, 2DO, 24 VAC, komunikace BACNET</t>
  </si>
  <si>
    <t>Výzbroj - doplnění HR - 2.pole</t>
  </si>
  <si>
    <t>Výkonový jistič 3-pólový pevné provedení do 200A, včetně krytů vývodů a kabelových ok</t>
  </si>
  <si>
    <t>Periferie MaR - TČ6</t>
  </si>
  <si>
    <t>TT01-TT04</t>
  </si>
  <si>
    <t>Měřicí převodník teploty s mosaznou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</si>
  <si>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PT01</t>
  </si>
  <si>
    <t xml:space="preserve">Převodník tlaku, rozsah měření -1 až 8 bar, tlak. připojení 1/4" SAE, vnější závit, výstup 0-10V, napájení 15 VDC, el. připojení kabel 2 m,  včetně jeho montáže do připraveného návarku (realizaci návarku respektive manometrové smyčky řeší technologie), a včetně montážního materiálu potřebného k jeho instalaci. </t>
  </si>
  <si>
    <t>Y01</t>
  </si>
  <si>
    <r>
      <t xml:space="preserve">Regulační ventil ; DN40, vč. elektrického pohonu (ovl. 0-10V, 230VAC, krytí IP54) - </t>
    </r>
    <r>
      <rPr>
        <b/>
        <sz val="12"/>
        <rFont val="Times New Roman CE"/>
        <charset val="238"/>
      </rPr>
      <t>dodávka technologie, pouze připojení</t>
    </r>
  </si>
  <si>
    <t>Regulační ventil ; DN40, vč. elektrického pohonu (ovl. ON/OFF, 230VAC, krytí IP54) - dodávka technologie, pouze připojení</t>
  </si>
  <si>
    <t>Y02</t>
  </si>
  <si>
    <r>
      <t xml:space="preserve">3cestný kulový kohout; DN65, vč. elektrického pohonu (ovl. 3bodové,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</si>
  <si>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DN65, vč. elektrického pohonu (ovl. 3bodové, 230VAC, krytí IP54) - dodávka technologie, pouze připojení</t>
  </si>
  <si>
    <t>Y03</t>
  </si>
  <si>
    <r>
      <t xml:space="preserve">kulový kohout; DN65,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</si>
  <si>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kulový kohout; DN65, vč. elektrického pohonu (ovl. 2bodové, 230VAC, krytí IP54) - dodávka technologie, pouze připojení</t>
  </si>
  <si>
    <t>Y201,Y202,Y205,Y206</t>
  </si>
  <si>
    <r>
      <t xml:space="preserve">Klapka mezipřírubová DN 100,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</si>
  <si>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Klapka mezipřírubová DN 100, vč. elektrického pohonu (ovl. 2bodové, 230VAC, krytí IP54) - dodávka technologie, pouze připojení</t>
  </si>
  <si>
    <t>Č61-Č63</t>
  </si>
  <si>
    <t>Připojení čerpadel nad 1kW</t>
  </si>
  <si>
    <t>Periferie MaR - TČ5</t>
  </si>
  <si>
    <t>Y205,Y206</t>
  </si>
  <si>
    <t>Periferie MaR - doplnění ohřevu rekreačního bazénu</t>
  </si>
  <si>
    <t>TT05-TT07</t>
  </si>
  <si>
    <t>Měřicí převodník teploty s nerezovou jímkou délky 190mm, rozsah -40-120°C, výstupní signál Pt1000, včetně jeho montáže do připraveného návarku (realizaci návarku řeší technologie), a  včetně montážního materiálu potřebného k jeho instalaci, včetně připojení</t>
  </si>
  <si>
    <t>Periferie MaR - doplnění tepelného hospodářství</t>
  </si>
  <si>
    <t>TT212</t>
  </si>
  <si>
    <t>Měřicí převodník teploty s mosaznou jímkou délky 138mm, rozsah -40-120°C, výstupní signál Pt1000, včetně jeho montáže do připraveného návarku (realizaci návarku řeší technologie), a  včetně montážního materiálu potřebného k jeho instalaci, včetně připojení</t>
  </si>
  <si>
    <t>Č63, Č64</t>
  </si>
  <si>
    <r>
      <t xml:space="preserve">Připojení čerpadel nad 0,5kW, </t>
    </r>
    <r>
      <rPr>
        <b/>
        <sz val="12"/>
        <rFont val="Times New Roman"/>
        <family val="1"/>
        <charset val="238"/>
      </rPr>
      <t>dodávka technologie</t>
    </r>
  </si>
  <si>
    <t>Připojení čerpadel nad 0,5kW</t>
  </si>
  <si>
    <t>FM63, FM64</t>
  </si>
  <si>
    <r>
      <t xml:space="preserve">Připojení frekvenčích měničů čerpadel Č63, Č64, </t>
    </r>
    <r>
      <rPr>
        <b/>
        <sz val="12"/>
        <rFont val="Times New Roman"/>
        <family val="1"/>
        <charset val="238"/>
      </rPr>
      <t>dodávka technologie</t>
    </r>
  </si>
  <si>
    <t>Připojení frekvennčích měničů čerpadel Č63, Č64</t>
  </si>
  <si>
    <t>Periferie MaR - doplnění UT - pro okruhy termální vody</t>
  </si>
  <si>
    <t>TT602</t>
  </si>
  <si>
    <t>Snímač teploty ponorný, vč. mechanizmu pro uchycení snímače dodávka, montáž, připojení</t>
  </si>
  <si>
    <t>Měřicí převodník teploty ponorný, rozsah -40-120°C, výstupní signál Pt1000, včetně jeho montáže do připraveného návarku (realizaci návarku řeší technologie), a  včetně montážního materiálu potřebného k jeho instalaci, včetně připojení</t>
  </si>
  <si>
    <t>TT603, TT604</t>
  </si>
  <si>
    <t>LAH602</t>
  </si>
  <si>
    <t>Plováčkový hladinový spínač pro jímku odpadní vody, vč. mechanizmu pro uchycení sondy</t>
  </si>
  <si>
    <t>Plováčkový hladinový spínač pro jímku odpadní vody, včetně instalace a připojení</t>
  </si>
  <si>
    <t>Y601</t>
  </si>
  <si>
    <r>
      <t xml:space="preserve">3cestný kulový kohout; DNxx, vč. elektrického pohonu (ovl. 2bodové, 230VAC, krytí IP54) - </t>
    </r>
    <r>
      <rPr>
        <b/>
        <sz val="12"/>
        <rFont val="Times New Roman CE"/>
        <charset val="238"/>
      </rPr>
      <t>dodávka technologie, pouze připojení</t>
    </r>
  </si>
  <si>
    <t>3cestný kulový kohout; DNxx, vč. elektrického pohonu (ovl. 2bodové, 230VAC, krytí IP54) - dodávka technologie, pouze připojení</t>
  </si>
  <si>
    <t>M603, M604</t>
  </si>
  <si>
    <t>Propojení a parametrizace stávajícího systému MaR s se systémem MaR v rozvaděči RUT3</t>
  </si>
  <si>
    <t>Vypracování uživatelských SW DDC pro řízení tepelného čerpadla TČ6</t>
  </si>
  <si>
    <t>Vypracování uživatelských SW pro řízení tepelného čerpadla TČ6</t>
  </si>
  <si>
    <t>Vypracování uživatelských SW DDC pro doplňkové funkce</t>
  </si>
  <si>
    <t>Vypracování uživatelských SW pro doplňkové funkce (míchání akumulačních nádob TV, monitorování odpadních jímek, přepouštění špinavé termy, odpouštění čisté termy)</t>
  </si>
  <si>
    <t>Plnohodnotná datová integrace TČ6 a přesun ostatních datových integraci tepelných čerpadel na novou síťovou jednotku SNCxx v rozvaděči RUT3</t>
  </si>
  <si>
    <t>Přepracování uživatelského SW DDC pro řízení TČ2, 4 a 5 v souvislosti s úpravou na ventilech přepínání chladu Y02</t>
  </si>
  <si>
    <t>Přepracování uživatelského SW pro řízení TČ2, 4 a 5 v souvislosti s úpravou na ventilech přepínání chladu Y02</t>
  </si>
  <si>
    <t>Přepracování uživatelského SW DDC pro řízení TČ5 v spouvislosti doplnění funkce pro přepínání odběru tepla, řízení ventilů Y205, Y206</t>
  </si>
  <si>
    <t>Přepracování uživatelského SW pro řízení TČ5 v spouvislosti doplnění funkce pro přepínání odběru tepla, řízení ventilů Y205, Y206</t>
  </si>
  <si>
    <t>Přepracování uživatelského SW (SW PRO DDC regulátory) pro část tepelného hospodářství v souvislosti s přenosem části regulace z jednotky NIE2960 na jednotku CGMxx</t>
  </si>
  <si>
    <t>Vypracování nadstavbového SW pro řízení přepínání TČ do sekundárních odběrů tepla a jejich případné "kaskádování"</t>
  </si>
  <si>
    <t>Vypracování nadstavbouvého SW pro řízení přepínání TČ do sekundárních odběrů tepla a jejich případné "kaskádování"</t>
  </si>
  <si>
    <t>Přesun kompletního softwaru ze síťové jednotky NIE2960 na nově dodávanou SNCxx v rozvaděči RUT3</t>
  </si>
  <si>
    <t>Přesun kompletního softwaru ze síťové jednotky NIE2960 na nově dodávanou SNCxx v rozvaděči RUT3 (kompletní události, historická data, časové plány, integrace, objekty interlocků a další)</t>
  </si>
  <si>
    <t>Vizualizace na stávajicí centrální stanici, práce na COP, vypracování dynamických obrazovek</t>
  </si>
  <si>
    <t>Kabel CYKY 4x1,5; dodávka</t>
  </si>
  <si>
    <t>Silový kabel 4 žilový, průřez žil 1,5 mm2</t>
  </si>
  <si>
    <t>Kabel CYKY 4x2,5; dodávka</t>
  </si>
  <si>
    <t>Kabel CYKY 4x25; dodávka</t>
  </si>
  <si>
    <t>Silový kabel 4 žilový, průřez žil 25 mm2</t>
  </si>
  <si>
    <t>Kabel CYKY 3x95+70; dodávka</t>
  </si>
  <si>
    <t>Silový kabel 4 žilový, průřez žil 90 mm2</t>
  </si>
  <si>
    <t>Kabel UTP cat. 6a; dodávka</t>
  </si>
  <si>
    <t>Přesun COP do serverovny a doplnění PC pro operátorské pracoviště</t>
  </si>
  <si>
    <t>Přesun COP - PC s instalovaným datovým a aplikačním serverem a UPS do serverové místnosti</t>
  </si>
  <si>
    <t>PC pro operátorské stanovistě - stávající velín, včetně instalace</t>
  </si>
  <si>
    <t>Příklad vhodné konfigurace PC: Stolní PC Mini Tower, Procesor Intel® Core™ i5, Operační systém Windows 10 Pro (64bitový), Paměť RAM 16GB, jeden pevný disky 500 GB, USB klávesnice, optická myš USB, 23 palcový monitoru</t>
  </si>
  <si>
    <t>Datová integrace TČ6 - rozšíření komunikačnéí linky o TČ6</t>
  </si>
  <si>
    <t>Doplnění komunikační sběrnice pro datovou integraci tepelných čerpadel o linku k TČ6</t>
  </si>
  <si>
    <t>Jímka použité termální vody - studená</t>
  </si>
  <si>
    <t>Realizace střídání čerpadel, dle teploty vody v jímce a čerpání v závislosti na hladině - montážní práce, materiál, SW</t>
  </si>
  <si>
    <t>SO 02 - OTV, ČTV do ATS a odpadní voda z AQC</t>
  </si>
  <si>
    <t>SO 01 - OTV z LDB do ČS</t>
  </si>
  <si>
    <t>Stavební rozpočet</t>
  </si>
  <si>
    <t>NOVÁ PŘÍPOJKA TERMÁLNÍ VODY PRO AQUACENTRUM TEPLICE</t>
  </si>
  <si>
    <t>Doba výstavby:</t>
  </si>
  <si>
    <t xml:space="preserve"> </t>
  </si>
  <si>
    <t>AQUACENTRUM p.o., TEPLICE</t>
  </si>
  <si>
    <t>Druh stavby:</t>
  </si>
  <si>
    <t>Začátek výstavby:</t>
  </si>
  <si>
    <t>23.01.2023</t>
  </si>
  <si>
    <t>CHEMINVEST</t>
  </si>
  <si>
    <t>Lokalita:</t>
  </si>
  <si>
    <t>AQUACENTRUM TEPLICE</t>
  </si>
  <si>
    <t>Konec výstavby:</t>
  </si>
  <si>
    <t> </t>
  </si>
  <si>
    <t>JKSO:</t>
  </si>
  <si>
    <t>Zpracováno dne:</t>
  </si>
  <si>
    <t>20.01.2023</t>
  </si>
  <si>
    <t>Zpracoval:</t>
  </si>
  <si>
    <t>Kamila Možná</t>
  </si>
  <si>
    <t>Č</t>
  </si>
  <si>
    <t>Objekt</t>
  </si>
  <si>
    <t>Kód</t>
  </si>
  <si>
    <t>Zkrácený popis</t>
  </si>
  <si>
    <t>MJ</t>
  </si>
  <si>
    <t>Množství</t>
  </si>
  <si>
    <t>Cena/MJ</t>
  </si>
  <si>
    <t>Náklady (Kč)</t>
  </si>
  <si>
    <t>Hmotnost (t)</t>
  </si>
  <si>
    <t>Cenová</t>
  </si>
  <si>
    <t>ISWORK</t>
  </si>
  <si>
    <t>GROUPCODE</t>
  </si>
  <si>
    <t>Rozměry</t>
  </si>
  <si>
    <t>(Kč)</t>
  </si>
  <si>
    <t>Dodávka</t>
  </si>
  <si>
    <t>Montáž</t>
  </si>
  <si>
    <t>Celkem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</si>
  <si>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</si>
  <si>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</si>
  <si>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</si>
  <si>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</si>
  <si>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</si>
  <si>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</si>
  <si>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</si>
  <si>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</si>
  <si>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</si>
  <si>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</si>
  <si>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</si>
  <si>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</si>
  <si>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</si>
  <si>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</si>
  <si>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</si>
  <si>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0</t>
  </si>
  <si>
    <t>Všeobecné konstrukce a práce</t>
  </si>
  <si>
    <t>1</t>
  </si>
  <si>
    <t>001111111VD</t>
  </si>
  <si>
    <t>Vytýčení a vyznačení sítí včetně dozoru správců sítí</t>
  </si>
  <si>
    <t>kompl</t>
  </si>
  <si>
    <t>0_</t>
  </si>
  <si>
    <t>_</t>
  </si>
  <si>
    <t>1;Vytýčení a vyznačení sítí včetně dozoru správců sítí;</t>
  </si>
  <si>
    <t>11</t>
  </si>
  <si>
    <t>Přípravné a přidružené práce</t>
  </si>
  <si>
    <t>2</t>
  </si>
  <si>
    <t>119001421R00</t>
  </si>
  <si>
    <t>Dočasné zajištění kabelů - do počtu 3 kabelů</t>
  </si>
  <si>
    <t>11_</t>
  </si>
  <si>
    <t>1_</t>
  </si>
  <si>
    <t>3</t>
  </si>
  <si>
    <t>119001412R00</t>
  </si>
  <si>
    <t>Dočasné zajištění beton.a plast.potrubí DN 200-500</t>
  </si>
  <si>
    <t>4</t>
  </si>
  <si>
    <t>113106231R00</t>
  </si>
  <si>
    <t>Rozebrání dlažeb ze zámkové dlažby v kamenivu</t>
  </si>
  <si>
    <t>šířka výkopu 1m</t>
  </si>
  <si>
    <t>0;pro šířku výkopu 1,35m;</t>
  </si>
  <si>
    <t>šířka výkopu 1,73m</t>
  </si>
  <si>
    <t>5</t>
  </si>
  <si>
    <t>0;šířka výkopu 1,35m;</t>
  </si>
  <si>
    <t>6</t>
  </si>
  <si>
    <t>113108305R00</t>
  </si>
  <si>
    <t>Odstranění asfaltové vrstvy chodníku pl.do 50 m2, tl. 5 cm</t>
  </si>
  <si>
    <t>šířka výkopu 1,35m</t>
  </si>
  <si>
    <t>7</t>
  </si>
  <si>
    <t>113107510R00</t>
  </si>
  <si>
    <t>Odstranění podkladu chodníku pl. 50 m2,kam.drcené tl.10 cm</t>
  </si>
  <si>
    <t>13</t>
  </si>
  <si>
    <t>Hloubené vykopávky</t>
  </si>
  <si>
    <t>8</t>
  </si>
  <si>
    <t>131301201R00</t>
  </si>
  <si>
    <t>Hloubení zapažených jam v hor.4 do 100 m3</t>
  </si>
  <si>
    <t>m3</t>
  </si>
  <si>
    <t>13_</t>
  </si>
  <si>
    <t>3*3*1,85;výkop pro šachtu;</t>
  </si>
  <si>
    <t>9</t>
  </si>
  <si>
    <t>131301209R00</t>
  </si>
  <si>
    <t>Příplatek za lepivost - hloubení zapaž.jam v hor.4</t>
  </si>
  <si>
    <t>16,65*0,2;příplatek 20%;</t>
  </si>
  <si>
    <t>10</t>
  </si>
  <si>
    <t>132200112RA0</t>
  </si>
  <si>
    <t>Hloubení zapaž.rýh šířky.do 200 cm v hornině.1-4</t>
  </si>
  <si>
    <t>261,20*1*1,45;hnědá ZÚ-L9;</t>
  </si>
  <si>
    <t>modrá+fialová+hnědá od L9 do KÚ, odpočet 5m</t>
  </si>
  <si>
    <t>132301219R00</t>
  </si>
  <si>
    <t>Přípl.za lepivost,hloubení rýh 200cm,hor.4,STROJNĚ</t>
  </si>
  <si>
    <t>12</t>
  </si>
  <si>
    <t>132303323R00</t>
  </si>
  <si>
    <t>Hloubení rýh pro drény, hloubky do 2,0 m, v hor.4</t>
  </si>
  <si>
    <t>261,20;hnědá ZÚ-L9;</t>
  </si>
  <si>
    <t>15</t>
  </si>
  <si>
    <t>Roubení</t>
  </si>
  <si>
    <t>151811512R00</t>
  </si>
  <si>
    <t>Montáž lehkého pažicího boxu dl.3m, š.3m, hl.1,95m</t>
  </si>
  <si>
    <t>15_</t>
  </si>
  <si>
    <t>14</t>
  </si>
  <si>
    <t>151813512R00</t>
  </si>
  <si>
    <t>Dmtž lehkého pažicího boxu dl.3m, š.3m, hl.1,95m</t>
  </si>
  <si>
    <t>151812512R00</t>
  </si>
  <si>
    <t>Pronájem lehkého pažic.boxu dl.3m, š.3m, hl.1,95m</t>
  </si>
  <si>
    <t>den</t>
  </si>
  <si>
    <t>16</t>
  </si>
  <si>
    <t>151101101R00</t>
  </si>
  <si>
    <t>Pažení a rozepření stěn rýh - příložné - hl.do 2 m</t>
  </si>
  <si>
    <t>261,20*1,45*2;hnědá ZÚ-L9;</t>
  </si>
  <si>
    <t>17</t>
  </si>
  <si>
    <t>151101111R00</t>
  </si>
  <si>
    <t>Odstranění pažení stěn rýh - příložné - hl. do 2 m</t>
  </si>
  <si>
    <t>Přemístění výkopku</t>
  </si>
  <si>
    <t>18</t>
  </si>
  <si>
    <t>161101102R00</t>
  </si>
  <si>
    <t>Svislé přemístění výkopku z hor.1-4 do 4,0 m - jáma</t>
  </si>
  <si>
    <t>16_</t>
  </si>
  <si>
    <t>16,65;viz hloubení zapaž. jam;</t>
  </si>
  <si>
    <t>19</t>
  </si>
  <si>
    <t>161101101R00</t>
  </si>
  <si>
    <t>Svislé přemístění výkopku z hor.1-4 do 2,5 m - rýha</t>
  </si>
  <si>
    <t>20</t>
  </si>
  <si>
    <t>167101102R00</t>
  </si>
  <si>
    <t>Nakládání výkopku z hor. 1 ÷ 4 v množství nad 100 m3 - odvoz na mezideponii</t>
  </si>
  <si>
    <t>14,89275;pro zásyp jámy;</t>
  </si>
  <si>
    <t>21</t>
  </si>
  <si>
    <t>162301101R00</t>
  </si>
  <si>
    <t>Vodorovné přemístění výkopku z hor.1-4 do 500 m - na mezideponii</t>
  </si>
  <si>
    <t>22</t>
  </si>
  <si>
    <t>Nakládání výkopku z hor. 1 ÷ 4 v množství nad 100 m3 - odvoz z mezideponie</t>
  </si>
  <si>
    <t>14,89285;pro zásyp jámy;</t>
  </si>
  <si>
    <t>23</t>
  </si>
  <si>
    <t>Vodorovné přemístění výkopku z hor.1-4 do 500 m - z mezideponie</t>
  </si>
  <si>
    <t>24</t>
  </si>
  <si>
    <t>Nakládání výkopku z hor. 1 ÷ 4 v množství nad 100 m3 - odvoz na skládku</t>
  </si>
  <si>
    <t>-14,89275;viz zásyp šachty;</t>
  </si>
  <si>
    <t>25</t>
  </si>
  <si>
    <t>162301102R00</t>
  </si>
  <si>
    <t>Vodorovné přemístění výkopku z hor.1-4 do 1000 m</t>
  </si>
  <si>
    <t>26</t>
  </si>
  <si>
    <t>162701109R00</t>
  </si>
  <si>
    <t>Příplatek k vod. přemístění hor.1-4 za další 1 km</t>
  </si>
  <si>
    <t>Konstrukce ze zemin</t>
  </si>
  <si>
    <t>27</t>
  </si>
  <si>
    <t>174101101R00</t>
  </si>
  <si>
    <t>Zásyp šachty se zhutněním</t>
  </si>
  <si>
    <t>17_</t>
  </si>
  <si>
    <t>16,65;viz svislé přemístění;</t>
  </si>
  <si>
    <t>-0,18;viz podkladová vrstva ze štěrkopísku;</t>
  </si>
  <si>
    <t>-0,125;viz podkladová základová deska;</t>
  </si>
  <si>
    <t>-3,14*1*1/4*1,85;šachta;</t>
  </si>
  <si>
    <t>28</t>
  </si>
  <si>
    <t>175100020RAD</t>
  </si>
  <si>
    <t>Obsyp potrubí štěrkopískem</t>
  </si>
  <si>
    <t>261,20*1*(0,306+0,3);hnědá ZÚ-L9;</t>
  </si>
  <si>
    <t>-3,14*0,306*0,306/4*261,2;odpočet potrubí;</t>
  </si>
  <si>
    <t>33*1*(0,14+0,3);fialová ZÚ-L9;</t>
  </si>
  <si>
    <t>-3,14*0,14*0,14/4*33;odpočet potrubí;</t>
  </si>
  <si>
    <t>;odpočet potrubí;</t>
  </si>
  <si>
    <t>29</t>
  </si>
  <si>
    <t>Zásyp rýh se zhutněním</t>
  </si>
  <si>
    <t>30</t>
  </si>
  <si>
    <t>171201201R00</t>
  </si>
  <si>
    <t>Uložení sypaniny na mezideponii</t>
  </si>
  <si>
    <t>31</t>
  </si>
  <si>
    <t>Uložení sypaniny na skl.-sypanina na výšku přes 2m</t>
  </si>
  <si>
    <t>32</t>
  </si>
  <si>
    <t>199000002R00</t>
  </si>
  <si>
    <t>Poplatek za skládku horniny 1- 4, č. dle katal. odpadů 17 05 04</t>
  </si>
  <si>
    <t>Úprava podloží a základové spáry</t>
  </si>
  <si>
    <t>33</t>
  </si>
  <si>
    <t>212572111R00</t>
  </si>
  <si>
    <t>Lože trativodu ze štěrkopísku tříděného</t>
  </si>
  <si>
    <t>21_</t>
  </si>
  <si>
    <t>2_</t>
  </si>
  <si>
    <t>Základy</t>
  </si>
  <si>
    <t>34</t>
  </si>
  <si>
    <t>273313611R00</t>
  </si>
  <si>
    <t>Beton základových desek prostý C 16/20</t>
  </si>
  <si>
    <t>27_</t>
  </si>
  <si>
    <t>1,5*1,5*0,05;podkladní beton;</t>
  </si>
  <si>
    <t>35</t>
  </si>
  <si>
    <t>273351215R00</t>
  </si>
  <si>
    <t>Bednění stěn základových desek - zřízení</t>
  </si>
  <si>
    <t>1,5*4*0,05;podkladní deska;</t>
  </si>
  <si>
    <t>36</t>
  </si>
  <si>
    <t>273351216R00</t>
  </si>
  <si>
    <t>Bednění stěn základových desek - odstranění</t>
  </si>
  <si>
    <t>0,3;viz zřízení;</t>
  </si>
  <si>
    <t>343</t>
  </si>
  <si>
    <t>Průchodka</t>
  </si>
  <si>
    <t>37</t>
  </si>
  <si>
    <t>343111100VD</t>
  </si>
  <si>
    <t>Instalace průchodky vnější stěny včetně jádrového vrtání</t>
  </si>
  <si>
    <t>343_</t>
  </si>
  <si>
    <t>3_</t>
  </si>
  <si>
    <t>1;ČŠ;</t>
  </si>
  <si>
    <t>2;Kamenné lázně;</t>
  </si>
  <si>
    <t>2+3;Aquacentrum;</t>
  </si>
  <si>
    <t>45</t>
  </si>
  <si>
    <t>Podkladní a vedlejší konstrukce (kromě vozovek a železničního svršku)</t>
  </si>
  <si>
    <t>38</t>
  </si>
  <si>
    <t>451572111R00</t>
  </si>
  <si>
    <t>Lože pod potrubí z písku</t>
  </si>
  <si>
    <t>45_</t>
  </si>
  <si>
    <t>4_</t>
  </si>
  <si>
    <t>261,20*1*0,15;hnědá ZÚ-L9;</t>
  </si>
  <si>
    <t>39</t>
  </si>
  <si>
    <t>460300006R00</t>
  </si>
  <si>
    <t>Hutnění lože</t>
  </si>
  <si>
    <t>56</t>
  </si>
  <si>
    <t>Podkladní vrstvy komunikací, letišť a ploch</t>
  </si>
  <si>
    <t>40</t>
  </si>
  <si>
    <t>564861111R00</t>
  </si>
  <si>
    <t>Podklad ze štěrkodrti po zhutnění tloušťky 20 cm</t>
  </si>
  <si>
    <t>5_</t>
  </si>
  <si>
    <t>41</t>
  </si>
  <si>
    <t>564851111R00</t>
  </si>
  <si>
    <t>Podklad ze štěrkodrti po zhutnění tloušťky 15 cm - komunikace</t>
  </si>
  <si>
    <t>42</t>
  </si>
  <si>
    <t>565131111R00</t>
  </si>
  <si>
    <t>Podklad z obal kamen. ACP 16+, š. do 3 m, tl. 5 cm</t>
  </si>
  <si>
    <t>43</t>
  </si>
  <si>
    <t>Podklad ze štěrkodrti po zhutnění tloušťky 15 cm - zámková dlažba</t>
  </si>
  <si>
    <t>57</t>
  </si>
  <si>
    <t>Kryty pozemních komunikací, letišť a ploch z kameniva nebo živičné</t>
  </si>
  <si>
    <t>44</t>
  </si>
  <si>
    <t>573111121R00</t>
  </si>
  <si>
    <t>Postřik infiltrační, množství zbytkového asfaltového pojiva 0,60 kg/m2</t>
  </si>
  <si>
    <t>573231143R00</t>
  </si>
  <si>
    <t>Postřik spojovací z KAE modifikované, množství zbytkového asfaltu 0,3 kg/m2</t>
  </si>
  <si>
    <t>46</t>
  </si>
  <si>
    <t>577132111R00</t>
  </si>
  <si>
    <t>Beton asfalt. ACO 11+ obrusný, š.nad 3 m, tl. 4 cm</t>
  </si>
  <si>
    <t>47</t>
  </si>
  <si>
    <t>578100010RA0</t>
  </si>
  <si>
    <t>Chodník z litého asfaltu</t>
  </si>
  <si>
    <t>59</t>
  </si>
  <si>
    <t>Kryty pozemních komunikací, letišť a ploch dlážděných (předlažby)</t>
  </si>
  <si>
    <t>48</t>
  </si>
  <si>
    <t>596215021R00</t>
  </si>
  <si>
    <t>Kladení zámkové dlažby tl. 6 cm do drtě tl. 4 cm</t>
  </si>
  <si>
    <t>59_</t>
  </si>
  <si>
    <t>722</t>
  </si>
  <si>
    <t>Vnitřní vodovod</t>
  </si>
  <si>
    <t>49</t>
  </si>
  <si>
    <t>722174240R00</t>
  </si>
  <si>
    <t>Montáž plastového vodovodního potrubí, D 200mm</t>
  </si>
  <si>
    <t>21,11;hnědá;</t>
  </si>
  <si>
    <t>13,5;izometrie;</t>
  </si>
  <si>
    <t>50</t>
  </si>
  <si>
    <t>286231161VD</t>
  </si>
  <si>
    <t>Trubka HDPE SDR17 PN10 200x11,9mm bez izolace</t>
  </si>
  <si>
    <t>dodávka včetně příslušenství</t>
  </si>
  <si>
    <t>51</t>
  </si>
  <si>
    <t>286110012VD</t>
  </si>
  <si>
    <t>Kluzné objímky DISA-RASI</t>
  </si>
  <si>
    <t>1;hnědá;</t>
  </si>
  <si>
    <t>52</t>
  </si>
  <si>
    <t>899912113R00</t>
  </si>
  <si>
    <t>Ocelové objímky z pás. oceli, DN 200</t>
  </si>
  <si>
    <t>7;izometrie;</t>
  </si>
  <si>
    <t>767</t>
  </si>
  <si>
    <t>Konstrukce doplňkové stavební (zámečnické)</t>
  </si>
  <si>
    <t>53</t>
  </si>
  <si>
    <t>767_</t>
  </si>
  <si>
    <t>76_</t>
  </si>
  <si>
    <t>85</t>
  </si>
  <si>
    <t>Tvarovky</t>
  </si>
  <si>
    <t>54</t>
  </si>
  <si>
    <t>857601101R00</t>
  </si>
  <si>
    <t>Montáž tvarovek DN 80</t>
  </si>
  <si>
    <t>85_</t>
  </si>
  <si>
    <t>8_</t>
  </si>
  <si>
    <t>2;FF KUS 8500 L=dle měření DN50 PN16 HAWLE;</t>
  </si>
  <si>
    <t>55</t>
  </si>
  <si>
    <t>286231147VD</t>
  </si>
  <si>
    <t>Lemový nákružek A WAVIN SDR11 PE100 D63 PN10/16</t>
  </si>
  <si>
    <t>286231148VD</t>
  </si>
  <si>
    <t>Příruba PP-OCEL WAVIN D63 PN16</t>
  </si>
  <si>
    <t>286231149VD</t>
  </si>
  <si>
    <t>PP 90st. 5049 DN50 PN16 HAWLE</t>
  </si>
  <si>
    <t>58</t>
  </si>
  <si>
    <t>286221227VD</t>
  </si>
  <si>
    <t>Poklop hydrantový 1950 podzemní KASI</t>
  </si>
  <si>
    <t>286231150VD</t>
  </si>
  <si>
    <t>D810 DN50 2m PN16 HAWLE</t>
  </si>
  <si>
    <t>60</t>
  </si>
  <si>
    <t>286231153VD</t>
  </si>
  <si>
    <t>FF KUS 8500 L=dle měření DN50 PN16 HAWLE</t>
  </si>
  <si>
    <t>2;VŠ;</t>
  </si>
  <si>
    <t>61</t>
  </si>
  <si>
    <t>857601102RT1</t>
  </si>
  <si>
    <t>Montáž tvarovek DN 100</t>
  </si>
  <si>
    <t>2;FFR KUS 8550 DN100/50 PN16 HAWLE;</t>
  </si>
  <si>
    <t>1;PŘ. ISO 5500 DN100/D110 PN16 HAWLE;</t>
  </si>
  <si>
    <t>1;T KUS 8510 DN100/100 PN16 HAWLE;</t>
  </si>
  <si>
    <t>1;T KUS 8510 DN100/80 PN16 HAWLE;</t>
  </si>
  <si>
    <t>62</t>
  </si>
  <si>
    <t>286231151VD</t>
  </si>
  <si>
    <t>Redukce WAVIN SDR17 PE100 D90/63 PN5/10</t>
  </si>
  <si>
    <t>63</t>
  </si>
  <si>
    <t>286231154VD</t>
  </si>
  <si>
    <t>FFR KUS 8550 DN100/50 PN16 HAWLE</t>
  </si>
  <si>
    <t>64</t>
  </si>
  <si>
    <t>286231155VD</t>
  </si>
  <si>
    <t>PŘ. ISO 5500 DN100/D110 PN16 HAWLE</t>
  </si>
  <si>
    <t>1;VŠ;</t>
  </si>
  <si>
    <t>65</t>
  </si>
  <si>
    <t>286231156VD</t>
  </si>
  <si>
    <t>T KUS 8510 DN100/100 PN16 HAWLE</t>
  </si>
  <si>
    <t>66</t>
  </si>
  <si>
    <t>286231157VD</t>
  </si>
  <si>
    <t>T KUS 8510 DN100/80 PN16 HAWLE</t>
  </si>
  <si>
    <t>67</t>
  </si>
  <si>
    <t>857601104R00</t>
  </si>
  <si>
    <t>Montáž tvarovek DN 150</t>
  </si>
  <si>
    <t>68</t>
  </si>
  <si>
    <t>286231152VD</t>
  </si>
  <si>
    <t>T KUS redur. 90st. WAVIN SDR17 PE100 D140/90 PN5/10</t>
  </si>
  <si>
    <t>87</t>
  </si>
  <si>
    <t>Potrubí z trub plastických, skleněných a čedičových</t>
  </si>
  <si>
    <t>69</t>
  </si>
  <si>
    <t>871812111R00</t>
  </si>
  <si>
    <t>Příplatek za zaměření GPS během pokládky</t>
  </si>
  <si>
    <t>87_</t>
  </si>
  <si>
    <t>70</t>
  </si>
  <si>
    <t>871311121R00</t>
  </si>
  <si>
    <t>Montáž trubek polyetylenových ve výkopu d 160 mm</t>
  </si>
  <si>
    <t>71</t>
  </si>
  <si>
    <t>286134635</t>
  </si>
  <si>
    <t>Trubka vodovodní PE RC Protect SDR 17  140x8,3 mm</t>
  </si>
  <si>
    <t>72</t>
  </si>
  <si>
    <t>871251121R00</t>
  </si>
  <si>
    <t>Montáž trubek polyetylenových ve výkopu d 110 mm</t>
  </si>
  <si>
    <t>73</t>
  </si>
  <si>
    <t>285110012VD</t>
  </si>
  <si>
    <t>Předizol. trubka HDPE SDR17 PN10 d=110x6,6mm tl. izol. 32mm</t>
  </si>
  <si>
    <t>74</t>
  </si>
  <si>
    <t>871371121R00</t>
  </si>
  <si>
    <t>Montáž trubek polyetylenových ve výkopu d 315 mm</t>
  </si>
  <si>
    <t>75</t>
  </si>
  <si>
    <t>285110011VD</t>
  </si>
  <si>
    <t>Předizol. trubka HDPE SDR17 PN10 d=200x11,9mm tl. izol. 53mm</t>
  </si>
  <si>
    <t>76</t>
  </si>
  <si>
    <t>871812112R00</t>
  </si>
  <si>
    <t>Příplatek za položení signalizačního vodiče a datového kabelu</t>
  </si>
  <si>
    <t>celková délka výkopu pro všechny šířky</t>
  </si>
  <si>
    <t>77</t>
  </si>
  <si>
    <t>34111012</t>
  </si>
  <si>
    <t>Kabel Cu signalizační</t>
  </si>
  <si>
    <t>78</t>
  </si>
  <si>
    <t>34111110VD</t>
  </si>
  <si>
    <t>PAAR-LiYCY 2x2x0,75 kabel datový</t>
  </si>
  <si>
    <t>79</t>
  </si>
  <si>
    <t>899711122R00</t>
  </si>
  <si>
    <t>Fólie výstražná z PVC</t>
  </si>
  <si>
    <t>80</t>
  </si>
  <si>
    <t>871221100VD</t>
  </si>
  <si>
    <t>Chránička pro DN250</t>
  </si>
  <si>
    <t>5;hnědá včetně osazení a přípravy;</t>
  </si>
  <si>
    <t>88</t>
  </si>
  <si>
    <t>Potrubí z drenážek</t>
  </si>
  <si>
    <t>81</t>
  </si>
  <si>
    <t>881267211R00</t>
  </si>
  <si>
    <t>Potrubí z drenážních trubek, přeložení DN 100</t>
  </si>
  <si>
    <t>88_</t>
  </si>
  <si>
    <t>82</t>
  </si>
  <si>
    <t>28611233</t>
  </si>
  <si>
    <t>Trubka PVC-U drenážní flexibilní d 100 mm</t>
  </si>
  <si>
    <t>89</t>
  </si>
  <si>
    <t>Ostatní konstrukce a práce na trubním vedení</t>
  </si>
  <si>
    <t>83</t>
  </si>
  <si>
    <t>892271111R00</t>
  </si>
  <si>
    <t>Tlaková zkouška vodovodního potrubí DN 125</t>
  </si>
  <si>
    <t>89_</t>
  </si>
  <si>
    <t>84</t>
  </si>
  <si>
    <t>892351111R00</t>
  </si>
  <si>
    <t>Tlaková zkouška vodovodního potrubí DN 200</t>
  </si>
  <si>
    <t>34,61;bez izolace + izometrie;</t>
  </si>
  <si>
    <t>891261111R00</t>
  </si>
  <si>
    <t>Montáž vodovodních šoupátek DN 100</t>
  </si>
  <si>
    <t>2;Š 3600 Deskové DN100 PN10 HAWLE;</t>
  </si>
  <si>
    <t>86</t>
  </si>
  <si>
    <t>286231158VD</t>
  </si>
  <si>
    <t>Š 3600 Deskové DN100 PN10 HAWLE</t>
  </si>
  <si>
    <t>891241111R00</t>
  </si>
  <si>
    <t>Montáž vodovodních šoupátek DN 80</t>
  </si>
  <si>
    <t>1;Š 3600 Deskové DN80 PN10 HAWLE;</t>
  </si>
  <si>
    <t>286231159VD</t>
  </si>
  <si>
    <t>Š 3600 Deskové DN80 PN10 HAWLE</t>
  </si>
  <si>
    <t>891265321R00</t>
  </si>
  <si>
    <t>Montáž zpětných klapek DN 100</t>
  </si>
  <si>
    <t>1;Zpětná klapka 9831 DN100 HAWLE;</t>
  </si>
  <si>
    <t>90</t>
  </si>
  <si>
    <t>286231160VD</t>
  </si>
  <si>
    <t>Zpětná klapka 9831 DN100 HAWLE</t>
  </si>
  <si>
    <t>894</t>
  </si>
  <si>
    <t>šachty kanalizační</t>
  </si>
  <si>
    <t>91</t>
  </si>
  <si>
    <t>894410003VD</t>
  </si>
  <si>
    <t>Šachta z bet. dílců vč. poklopu</t>
  </si>
  <si>
    <t>894_</t>
  </si>
  <si>
    <t>1;fialová;</t>
  </si>
  <si>
    <t>92</t>
  </si>
  <si>
    <t>9_</t>
  </si>
  <si>
    <t>Doplňující konstrukce a práce na pozemních komunikacích a zpevněných plochách</t>
  </si>
  <si>
    <t>93</t>
  </si>
  <si>
    <t>919735113R00</t>
  </si>
  <si>
    <t>94</t>
  </si>
  <si>
    <t>919731121R00</t>
  </si>
  <si>
    <t>Zarovnání styčné plochy živičné tl. do 5 cm</t>
  </si>
  <si>
    <t>95</t>
  </si>
  <si>
    <t>H22</t>
  </si>
  <si>
    <t>Komunikace pozemní a letiště</t>
  </si>
  <si>
    <t>96</t>
  </si>
  <si>
    <t>998225111R00</t>
  </si>
  <si>
    <t>Přesun hmot, pozemní komunikace, kryt živičný</t>
  </si>
  <si>
    <t>H22_</t>
  </si>
  <si>
    <t>97</t>
  </si>
  <si>
    <t>998223011R00</t>
  </si>
  <si>
    <t>Přesun hmot, pozemní komunikace, kryt dlážděný</t>
  </si>
  <si>
    <t>H27</t>
  </si>
  <si>
    <t>Vedení trubní dálková a přípojná</t>
  </si>
  <si>
    <t>98</t>
  </si>
  <si>
    <t>998276101R00</t>
  </si>
  <si>
    <t>Přesun hmot, trubní vedení plastová, otevř. výkop</t>
  </si>
  <si>
    <t>H27_</t>
  </si>
  <si>
    <t>M46</t>
  </si>
  <si>
    <t>Zemní práce při montážích</t>
  </si>
  <si>
    <t>99</t>
  </si>
  <si>
    <t>460650015RT1</t>
  </si>
  <si>
    <t>Podkladová vrstva ze štěrkopísku, rozprostření a zhutnění</t>
  </si>
  <si>
    <t>M46_</t>
  </si>
  <si>
    <t>1,5*1,5*0,08;štěrkopískový podsyp;</t>
  </si>
  <si>
    <t>S</t>
  </si>
  <si>
    <t>Přesuny sutí</t>
  </si>
  <si>
    <t>100</t>
  </si>
  <si>
    <t>979087213R00</t>
  </si>
  <si>
    <t>Nakládání vybour.hmot na dop.prostředky-komunikace</t>
  </si>
  <si>
    <t>S_</t>
  </si>
  <si>
    <t>101</t>
  </si>
  <si>
    <t>979094111R00</t>
  </si>
  <si>
    <t>102</t>
  </si>
  <si>
    <t>979081111R00</t>
  </si>
  <si>
    <t>Odvoz suti a vybour. hmot na skládku do 1 km</t>
  </si>
  <si>
    <t>103</t>
  </si>
  <si>
    <t>979081121R00</t>
  </si>
  <si>
    <t>Příplatek k odvozu za každý další 1 km</t>
  </si>
  <si>
    <t>104</t>
  </si>
  <si>
    <t>979990112R00</t>
  </si>
  <si>
    <t>Poplatek za uložení suti - obal. kamenivo, asfalt, skupina odpadu 170302</t>
  </si>
  <si>
    <t>105</t>
  </si>
  <si>
    <t>012VD</t>
  </si>
  <si>
    <t>vrn</t>
  </si>
  <si>
    <t>106</t>
  </si>
  <si>
    <t>012111111VD</t>
  </si>
  <si>
    <t>Zařízení staveniště</t>
  </si>
  <si>
    <t>%</t>
  </si>
  <si>
    <t>012VD_</t>
  </si>
  <si>
    <t>107</t>
  </si>
  <si>
    <t>012111112VD</t>
  </si>
  <si>
    <t>Územní vlivy</t>
  </si>
  <si>
    <t>108</t>
  </si>
  <si>
    <t>012111113VD</t>
  </si>
  <si>
    <t>Provozní vlivy</t>
  </si>
  <si>
    <t>109</t>
  </si>
  <si>
    <t>012111114VD</t>
  </si>
  <si>
    <t>Technický dozor investora</t>
  </si>
  <si>
    <t>Celkem:</t>
  </si>
  <si>
    <t>modrá - čistá termální voda-ČS-ATS_x000D_
hnědá - odpadní termální voda-ČS-ATS_x000D_
fialová - odpadní voda-AQC-POTOK_x000D_
VŠ - vodoměrná šachta</t>
  </si>
  <si>
    <t>001221142VD</t>
  </si>
  <si>
    <t>Použití jeřábu pro osazení šachty</t>
  </si>
  <si>
    <t>1;použití jeřábu;</t>
  </si>
  <si>
    <t>1;zajištění kabelů;</t>
  </si>
  <si>
    <t>5,5*4,7*2,95;výkop;</t>
  </si>
  <si>
    <t>76,2575*0,2;příplatek 20%;</t>
  </si>
  <si>
    <t>131301110R00</t>
  </si>
  <si>
    <t>Hloubení nezapaž. jam hor.4 do 50 m3, STROJNĚ</t>
  </si>
  <si>
    <t>3,9*3,1*0,156;pro podklad;</t>
  </si>
  <si>
    <t>136,74*1*1,45+1,16*1*2,5;PP;</t>
  </si>
  <si>
    <t>201,173/100*20;příplatek 20%;</t>
  </si>
  <si>
    <t>137,9</t>
  </si>
  <si>
    <t>151811617R00</t>
  </si>
  <si>
    <t>Montáž pažic.boxu standard dl.3m, š.3,5m, hl.3,57m</t>
  </si>
  <si>
    <t>151813617R00</t>
  </si>
  <si>
    <t>Dmtž pažicího boxu standard dl.3m, š.3,5m,hl.3,57m</t>
  </si>
  <si>
    <t>151812614R00</t>
  </si>
  <si>
    <t>Pronájem lehkého pažic.boxu dl.3m, š.3,5m,hl.3,27m</t>
  </si>
  <si>
    <t>136,74*1,45*2;pažení;</t>
  </si>
  <si>
    <t>396,546;viz pažení;</t>
  </si>
  <si>
    <t>151101102R00</t>
  </si>
  <si>
    <t>Pažení a rozepření stěn rýh - příložné - hl.do 4 m</t>
  </si>
  <si>
    <t>1,16*2,5*2;pažení;</t>
  </si>
  <si>
    <t>151101112R00</t>
  </si>
  <si>
    <t>Odstranění pažení stěn rýh - příložné - hl. do 4 m</t>
  </si>
  <si>
    <t>5,8;viz pažení;</t>
  </si>
  <si>
    <t>76,2575;viz hloubení zapaž. jam;</t>
  </si>
  <si>
    <t>1,88604;viz hloubení nezapaž. jam;</t>
  </si>
  <si>
    <t>201,173;viz rýha;</t>
  </si>
  <si>
    <t>12,411;lože trativodu;</t>
  </si>
  <si>
    <t>50,49954;pro zásyp jámy;</t>
  </si>
  <si>
    <t>121,93373;pro zásyp rýhy;</t>
  </si>
  <si>
    <t>172,43327;viz nakládání;</t>
  </si>
  <si>
    <t>78,14354+201,173;viz svislé přemístění;</t>
  </si>
  <si>
    <t>-50,49954;viz zásyp šachty;</t>
  </si>
  <si>
    <t>-121,933373;viz zásyp rýhy;</t>
  </si>
  <si>
    <t>106,88363;viz nakládání na skládku;</t>
  </si>
  <si>
    <t>106,88363*19;odvoz celkem do 20km;</t>
  </si>
  <si>
    <t>Zásyp odbočovací šachty se zhutněním</t>
  </si>
  <si>
    <t>78,14354;viz svislé přemístění;</t>
  </si>
  <si>
    <t>-1,8135;viz podkladová vrstva ze štěrkopísku;</t>
  </si>
  <si>
    <t>-1,8135;viz podkladová základová deska;</t>
  </si>
  <si>
    <t>-3,5*2,7*2,5;viz šachta;</t>
  </si>
  <si>
    <t>-1,4*1,4*0,2;viz vstup do šachty;</t>
  </si>
  <si>
    <t>137,9*1*(0,14+0,3)</t>
  </si>
  <si>
    <t>-3,14*0,14*0,14/4*137,9</t>
  </si>
  <si>
    <t>;obsyp;</t>
  </si>
  <si>
    <t>201,173;viz hloubení rýh;</t>
  </si>
  <si>
    <t>-20,685;viz lože;</t>
  </si>
  <si>
    <t>-58,55427;viz obsyp;</t>
  </si>
  <si>
    <t>106,88363;viz uložení;</t>
  </si>
  <si>
    <t>137,9*0,3*0,3</t>
  </si>
  <si>
    <t>273321311R00</t>
  </si>
  <si>
    <t>Železobeton základových desek C 16/20</t>
  </si>
  <si>
    <t>3,9*3,1*0,15;podkladní deska;</t>
  </si>
  <si>
    <t>(3,9+3,1)*2*0,15;podkladní deska;</t>
  </si>
  <si>
    <t>2,1;viz zřízení;</t>
  </si>
  <si>
    <t>273362021R00</t>
  </si>
  <si>
    <t>Výztuž základových desek ze svařovaných sití KARI</t>
  </si>
  <si>
    <t>3,9*3,1*8/1000;podkladní deska;</t>
  </si>
  <si>
    <t>Instalace průchodky včetně opravy hydroizolace vnější stěny</t>
  </si>
  <si>
    <t>1;průchodka;</t>
  </si>
  <si>
    <t>343111101VD</t>
  </si>
  <si>
    <t>Průchodka do šachty</t>
  </si>
  <si>
    <t>3;průchodka;</t>
  </si>
  <si>
    <t>137,9*1*0,15;lože;</t>
  </si>
  <si>
    <t>20,685;viz lože;</t>
  </si>
  <si>
    <t>Úprava povrchů vnitřní</t>
  </si>
  <si>
    <t>612421221R00</t>
  </si>
  <si>
    <t>Oprava omítek stěn do 10 % pl. - hladkých</t>
  </si>
  <si>
    <t>61_</t>
  </si>
  <si>
    <t>6_</t>
  </si>
  <si>
    <t>(2,425+4)*2*0,9-0,96*0,4*2;002;</t>
  </si>
  <si>
    <t>(5+4)*2*0,9-0,96*0,4+(0,86+0,56)*2*1,05;003;</t>
  </si>
  <si>
    <t>S2</t>
  </si>
  <si>
    <t>611421221R00</t>
  </si>
  <si>
    <t>Oprava omítek stropů do 10% plochy - hladkých</t>
  </si>
  <si>
    <t>9,9;002;</t>
  </si>
  <si>
    <t>18,5;003;</t>
  </si>
  <si>
    <t>Úprava povrchů vnější</t>
  </si>
  <si>
    <t>622471112R00</t>
  </si>
  <si>
    <t>Nátěr vnějších stěn algicidní a fungicidní</t>
  </si>
  <si>
    <t>62_</t>
  </si>
  <si>
    <t>(1,175+2,5*2)*2,5-0,96*2,02+4,5*1,5*2*2;001;</t>
  </si>
  <si>
    <t>711</t>
  </si>
  <si>
    <t>Izolace proti vodě</t>
  </si>
  <si>
    <t>711141559RZ3</t>
  </si>
  <si>
    <t>Provedení izolace proti vlhkosti na ploše vodorovné, asfaltovými pásy přitavením, 1 vrstva - včetně dodávky</t>
  </si>
  <si>
    <t>711_</t>
  </si>
  <si>
    <t>71_</t>
  </si>
  <si>
    <t>3,9*3,1;hydroizolační vrstva;</t>
  </si>
  <si>
    <t>12,09*0,1;prořez;</t>
  </si>
  <si>
    <t>767995153VD</t>
  </si>
  <si>
    <t>Žebřík nerezový, šíře 400mm, délka 2,4m včetně kotvení</t>
  </si>
  <si>
    <t>1;žebřík;</t>
  </si>
  <si>
    <t>771</t>
  </si>
  <si>
    <t>Podlahy z dlaždic</t>
  </si>
  <si>
    <t>771100010RA0</t>
  </si>
  <si>
    <t>Vyrovnání podk.samoniv.hmotou</t>
  </si>
  <si>
    <t>771_</t>
  </si>
  <si>
    <t>77_</t>
  </si>
  <si>
    <t>P1 - S4, S5</t>
  </si>
  <si>
    <t>771101210RT2</t>
  </si>
  <si>
    <t>Penetrace podkladu pod dlažby</t>
  </si>
  <si>
    <t>28,4;viz vyrovnání;</t>
  </si>
  <si>
    <t>771575107RT2</t>
  </si>
  <si>
    <t xml:space="preserve">Montáž podlah keram.,režné hladké, tmel	</t>
  </si>
  <si>
    <t>597000002VD</t>
  </si>
  <si>
    <t>Dlažba protiskluzová keramická</t>
  </si>
  <si>
    <t>30;viz pokládka - P1;</t>
  </si>
  <si>
    <t>771990010RA0</t>
  </si>
  <si>
    <t>Vybourání keramické nebo teracové dlažby</t>
  </si>
  <si>
    <t>781</t>
  </si>
  <si>
    <t>Obklady (keramické)</t>
  </si>
  <si>
    <t>781110012VD</t>
  </si>
  <si>
    <t>Oprava ker. obkladu nádrže (rozsah upřesněn po vypuštění nádrže)</t>
  </si>
  <si>
    <t>781_</t>
  </si>
  <si>
    <t>78_</t>
  </si>
  <si>
    <t>1;004 - S8;</t>
  </si>
  <si>
    <t>783</t>
  </si>
  <si>
    <t>Nátěry</t>
  </si>
  <si>
    <t>783824120R00</t>
  </si>
  <si>
    <t>Nátěr betonových povrchů protiskluzový včetně drobných oprav</t>
  </si>
  <si>
    <t>783_</t>
  </si>
  <si>
    <t>19*0,18*1,175+18*0,27*1,175+1,175*1,2;001 - S7;</t>
  </si>
  <si>
    <t>783904811R00</t>
  </si>
  <si>
    <t>Odrezivění kovových konstrukcí</t>
  </si>
  <si>
    <t>5*(0,15*3+0,24*2);003 - S7;</t>
  </si>
  <si>
    <t>783903811R00</t>
  </si>
  <si>
    <t>Odmaštění chemickými rozpouštědly</t>
  </si>
  <si>
    <t>4,65;viz odrezivění;</t>
  </si>
  <si>
    <t>783101811R00</t>
  </si>
  <si>
    <t>Odstranění nátěrů z ocel.konstrukcí oškrábáním</t>
  </si>
  <si>
    <t>783122110R00</t>
  </si>
  <si>
    <t>Nátěr syntetický OK dvojnásobný</t>
  </si>
  <si>
    <t>4,65;viz odrezivění - S7;</t>
  </si>
  <si>
    <t>783122710R00</t>
  </si>
  <si>
    <t>Nátěr syntetický OK základní</t>
  </si>
  <si>
    <t>784</t>
  </si>
  <si>
    <t>Malby</t>
  </si>
  <si>
    <t>784151101R00</t>
  </si>
  <si>
    <t>Penetrace podkladu 1 x</t>
  </si>
  <si>
    <t>784_</t>
  </si>
  <si>
    <t>29,595;viz oprava omítek stěn;</t>
  </si>
  <si>
    <t>28,4;viz oprava omítek stropů;</t>
  </si>
  <si>
    <t>S3</t>
  </si>
  <si>
    <t>784165611R00</t>
  </si>
  <si>
    <t>Malba omyvat., bílá, bez penetrace, 1x</t>
  </si>
  <si>
    <t>57,995;viz penetrace - S3;</t>
  </si>
  <si>
    <t>2;Elektrospojka WAVIN SDR11 PE100 D110 PN10/16;</t>
  </si>
  <si>
    <t>2;Lemový nákružek A WAVIN SDR17 PE100 D110 PN5/10;</t>
  </si>
  <si>
    <t>2;Příruba PP-OCEL WAVIN D110 PN10/16;</t>
  </si>
  <si>
    <t>1;Uzav. klapka TTV s el. pohonem 2094E-DN100-PN16 W;</t>
  </si>
  <si>
    <t>286231132VD</t>
  </si>
  <si>
    <t>Elektrospojka WAVIN SDR11 PE100 D110 PN10/16</t>
  </si>
  <si>
    <t>286231135VD</t>
  </si>
  <si>
    <t>Lemový nákružek A WAVIN SDR17 PE100 D110 PN5/10</t>
  </si>
  <si>
    <t>286231138VD</t>
  </si>
  <si>
    <t>Příruba PP-OCEL WAVIN D110 PN10/16</t>
  </si>
  <si>
    <t>286231142VD</t>
  </si>
  <si>
    <t>Uzav. klapka TTV s el. pohonem 2094E-DN100-PN16 W</t>
  </si>
  <si>
    <t>857601105R00</t>
  </si>
  <si>
    <t>Montáž tvarovek DN 200</t>
  </si>
  <si>
    <t>1;Elektrokus T kus reduk. WAVIN PE100 D200-110 PN10/16;</t>
  </si>
  <si>
    <t>2;Elektrokus T kus WAVIN PE100 D200 PN10/16;</t>
  </si>
  <si>
    <t>7;Elektrospojka WAVIN SDR17 PE100 D200 PN10/16;</t>
  </si>
  <si>
    <t>2;Koleno 90st. WAVIN SDR17 PE100 D200 PN5/10;</t>
  </si>
  <si>
    <t>4;Lemový nákružek A WAVIN SDR17 PE100 D200 PN5/10;</t>
  </si>
  <si>
    <t>4;Příruba PP-OCEL WAVIN D200 PN16;</t>
  </si>
  <si>
    <t>2;Uzav. klapka TTV s el. pohonem 2034E-DN200-PN16 W;</t>
  </si>
  <si>
    <t>286231130VD</t>
  </si>
  <si>
    <t>Elektrokus T kus reduk. WAVIN PE100 D200-110 PN10/16</t>
  </si>
  <si>
    <t>286231131VD</t>
  </si>
  <si>
    <t>Elektrokus T kus WAVIN PE100 D200 PN10/16</t>
  </si>
  <si>
    <t>286231133VD</t>
  </si>
  <si>
    <t>Elektrospojka WAVIN SDR17 PE100 D200 PN10/16</t>
  </si>
  <si>
    <t>286231134VD</t>
  </si>
  <si>
    <t>Koleno 90st. WAVIN SDR17 PE100 D200 PN5/10</t>
  </si>
  <si>
    <t>286231136VD</t>
  </si>
  <si>
    <t>Lemový nákružek A WAVIN SDR17 PE100 D200 PN5/10</t>
  </si>
  <si>
    <t>286231139VD</t>
  </si>
  <si>
    <t>Příruba PP-OCEL WAVIN D200 PN16</t>
  </si>
  <si>
    <t>286231143VD</t>
  </si>
  <si>
    <t>Uzav. klapka TTV s el. pohonem 2034E-DN200-PN16 W</t>
  </si>
  <si>
    <t>857601107R00</t>
  </si>
  <si>
    <t>Montáž tvarovek DN 300</t>
  </si>
  <si>
    <t>2;Redukce WAVIN SDR17 PE100 D315/200 PN5/10;</t>
  </si>
  <si>
    <t>3;Průchodka LS-325/9 BS316-OTVOR DN250;</t>
  </si>
  <si>
    <t>286231140VD</t>
  </si>
  <si>
    <t>Redukce WAVIN SDR17 PE100 D315/200 PN5/10</t>
  </si>
  <si>
    <t>286231146VD</t>
  </si>
  <si>
    <t>Průchodka LS-325/9 BS316-OTVOR DN250</t>
  </si>
  <si>
    <t>857601109R00</t>
  </si>
  <si>
    <t>Montáž tvarovek DN 400</t>
  </si>
  <si>
    <t>2;Přechod. kus SC 465 + vložka BC 32/400;</t>
  </si>
  <si>
    <t>2;Redukce WAVIN SDR17 PE100 D450/315 PN5/10;</t>
  </si>
  <si>
    <t>286231137VD</t>
  </si>
  <si>
    <t>Přechod. kus SC 465 + vložka BC 32/400</t>
  </si>
  <si>
    <t>286231141VD</t>
  </si>
  <si>
    <t>Redukce WAVIN SDR17 PE100 D450/315 PN5/10</t>
  </si>
  <si>
    <t>286134633</t>
  </si>
  <si>
    <t>Trubka vodovodní HDPE SDR 17  110x6,6 mm, tl. izolace 32mm</t>
  </si>
  <si>
    <t>137,9*1,05;ztratné;</t>
  </si>
  <si>
    <t>137,9;vodič;</t>
  </si>
  <si>
    <t>137,90*1,05;ztratné;</t>
  </si>
  <si>
    <t>137,9*2;fólie;</t>
  </si>
  <si>
    <t>275,8*0,05;ztratné;</t>
  </si>
  <si>
    <t>139,7</t>
  </si>
  <si>
    <t>286559919VD</t>
  </si>
  <si>
    <t>Propojení potrubí po osazení šachty</t>
  </si>
  <si>
    <t>1;propojení potrubí;</t>
  </si>
  <si>
    <t>895013111R00</t>
  </si>
  <si>
    <t>Zřízení a dodávka jímky z prefa do 4 m, nad 3,5 m2</t>
  </si>
  <si>
    <t>1;odbočovací jímka;</t>
  </si>
  <si>
    <t>899102111RT2</t>
  </si>
  <si>
    <t>Osazení a dodávka poklopu včetně rámu, uzamykatelný, těsný 900x900mm</t>
  </si>
  <si>
    <t>1;rám;</t>
  </si>
  <si>
    <t>891</t>
  </si>
  <si>
    <t>armatury na potrubí, výtoková a vtoková zařízení</t>
  </si>
  <si>
    <t>891110013VD</t>
  </si>
  <si>
    <t>Vyříznutí stávajícího potrubí termální vody</t>
  </si>
  <si>
    <t>891_</t>
  </si>
  <si>
    <t>Podpěry</t>
  </si>
  <si>
    <t>894110015VD</t>
  </si>
  <si>
    <t>Podpěra v odbočovací šachtě</t>
  </si>
  <si>
    <t>5;P1;</t>
  </si>
  <si>
    <t>1;P2;</t>
  </si>
  <si>
    <t>Různé dokončovací konstrukce a práce inženýrských staveb</t>
  </si>
  <si>
    <t>938907121R00</t>
  </si>
  <si>
    <t>Očištění stěn, podlah a stropů tlakovou vodou</t>
  </si>
  <si>
    <t>93_</t>
  </si>
  <si>
    <t>((1,175+2,5*2)*2,5-0,96*2,02+4,5*1,5*2)*2+11,139;001;</t>
  </si>
  <si>
    <t>(2,425+4)*2*2,5-0,96*2,02*2+9,9*2;002;</t>
  </si>
  <si>
    <t>(5+4)*2*2,5-0,96*2,02+18,5*2+(0,86+0,56)*2*1,05-1,19*0,79;003;</t>
  </si>
  <si>
    <t>(5+4)*2,46*2+20*2-1,19*0,79+(1,19+0,79)*2*0,42;004;</t>
  </si>
  <si>
    <t>S1</t>
  </si>
  <si>
    <t>0,3695</t>
  </si>
  <si>
    <t>187,98732</t>
  </si>
  <si>
    <t>H99</t>
  </si>
  <si>
    <t>Ostatní přesuny hmot</t>
  </si>
  <si>
    <t>999281105R00</t>
  </si>
  <si>
    <t>Přesun hmot pro opravy a údržbu do výšky 6 m</t>
  </si>
  <si>
    <t>H99_</t>
  </si>
  <si>
    <t>3,11517</t>
  </si>
  <si>
    <t>M22</t>
  </si>
  <si>
    <t>Montáže sdělovací a zabezpečovací techniky</t>
  </si>
  <si>
    <t>222611215R00</t>
  </si>
  <si>
    <t>Montáž pohonů</t>
  </si>
  <si>
    <t>M22_</t>
  </si>
  <si>
    <t>1;Pohon "VALPES VS FS" VR75-70A-GS6-100-240V AC;</t>
  </si>
  <si>
    <t>2;Pohon "VALPES VS FS" VS300-90A-GS6-100-240V AC;</t>
  </si>
  <si>
    <t>286231144VD</t>
  </si>
  <si>
    <t>Pohon "VALPES VS FS" VR75-70A-GS6-100-240V AC</t>
  </si>
  <si>
    <t>286231145VD</t>
  </si>
  <si>
    <t>Pohon "VALPES VS FS" VS300-90A-GS6-100-240V AC</t>
  </si>
  <si>
    <t>3,9*3,1*0,15;štěrkopískový podsyp;</t>
  </si>
  <si>
    <t>Nakládání nebo překládání vybouraných hmot</t>
  </si>
  <si>
    <t>2,47122</t>
  </si>
  <si>
    <t>2,47122*19;odvoz celkem do 20km;</t>
  </si>
  <si>
    <t>979990111R00</t>
  </si>
  <si>
    <t>Poplatek za uložení suti - stavební keramika, skupina odpadu 170103</t>
  </si>
  <si>
    <t>110</t>
  </si>
  <si>
    <t>111</t>
  </si>
  <si>
    <t>112</t>
  </si>
  <si>
    <t xml:space="preserve">    740 - Bazénová technologie</t>
  </si>
  <si>
    <t>Bazénová technologie *</t>
  </si>
  <si>
    <t>HENNLICH s.r.o. -  Ing. Tomáš Holčák</t>
  </si>
  <si>
    <t>HENNLICH s.r.o.</t>
  </si>
  <si>
    <t>412 01  Litoměřice</t>
  </si>
  <si>
    <t>RTS I / 2023</t>
  </si>
  <si>
    <t>12.05.2023</t>
  </si>
  <si>
    <t>001332224VD</t>
  </si>
  <si>
    <t>Přeložka 52m kabelů NN, chráničky, posun 3ks stožárů vč. připojení</t>
  </si>
  <si>
    <t>1;Přeložka 52m kabelů NN, chráničky, posun 3ks stožárů vč. připojení;</t>
  </si>
  <si>
    <t>27;modrá;</t>
  </si>
  <si>
    <t>38;hnědá;</t>
  </si>
  <si>
    <t>31;fialová;</t>
  </si>
  <si>
    <t>29;modrá;</t>
  </si>
  <si>
    <t>42;hnědá;</t>
  </si>
  <si>
    <t>44;fialová;</t>
  </si>
  <si>
    <t>(93+35)*1;hnědá ZÚ-L8;</t>
  </si>
  <si>
    <t>(21+4+4+4)*1;fialová ZÚ-L8;</t>
  </si>
  <si>
    <t>(6+3)*1;modrá ZÚ-L8;</t>
  </si>
  <si>
    <t>2*1;fialová L15-KÚ;</t>
  </si>
  <si>
    <t>(3+2)*1,73</t>
  </si>
  <si>
    <t>modrá+fialová+hnědá od L8 do KÚ</t>
  </si>
  <si>
    <t>113107222RA0</t>
  </si>
  <si>
    <t>Odstranění asfaltobetonové vozovky pl. nad 50 m2</t>
  </si>
  <si>
    <t>6*2;fialová ZÚ-L8;</t>
  </si>
  <si>
    <t>(6+8+15+220+40)*3</t>
  </si>
  <si>
    <t>(3+2)*1;fialová ZÚ-L8;</t>
  </si>
  <si>
    <t>5;viz asfalt chodník;</t>
  </si>
  <si>
    <t>33*1*1,45;fialová ZÚ-mezi L1 a L2;</t>
  </si>
  <si>
    <t>72,95*1*1,45;fialová L15-KÚ;</t>
  </si>
  <si>
    <t>41,75*1,35*1,45;hnědá + fialová L9-L12 (hnědá);</t>
  </si>
  <si>
    <t>573,18*1,73*1,45;modrá+fialová+hnědá od ZÚ modrá do KÚ;</t>
  </si>
  <si>
    <t>2051,91515/100*20;příplatek 20%;</t>
  </si>
  <si>
    <t>33;fialová ZÚ-mezi L1 a L2;</t>
  </si>
  <si>
    <t>72,95;fialová L15-KÚ;</t>
  </si>
  <si>
    <t>41,75;hnědá + fialová L9-L12 (hnědá);</t>
  </si>
  <si>
    <t>573,18;modrá+fialová+hnědá od ZÚ modrá do KÚ;</t>
  </si>
  <si>
    <t>33*1,45*2;fialová ZÚ-mezi L1 a L2;</t>
  </si>
  <si>
    <t>72,95*1,45*2;fialová L15-KÚ;</t>
  </si>
  <si>
    <t>41,75*1,45*2;hnědá + fialová L9-L12 (hnědá);</t>
  </si>
  <si>
    <t>573,18*1,45*2;modrá+fialová+hnědá od ZÚ modrá do KÚ;</t>
  </si>
  <si>
    <t>2848,032;viz pažení;</t>
  </si>
  <si>
    <t>2051,91515;viz rýha;</t>
  </si>
  <si>
    <t>88,3872;lože trativodu;</t>
  </si>
  <si>
    <t>1088,79005;pro zásyp rýhy;</t>
  </si>
  <si>
    <t>1103,6828;viz nakládání;</t>
  </si>
  <si>
    <t>16,65+2140,30235;viz svislé přemístění;</t>
  </si>
  <si>
    <t>-1088,79005;viz zásyp rýhy;</t>
  </si>
  <si>
    <t>1053,26955;viz nakládání na skládku;</t>
  </si>
  <si>
    <t>1053,26955*19;odvoz celkem do 20km;</t>
  </si>
  <si>
    <t>72,95*1*(0,14+0,3);fialová L15-KÚ;</t>
  </si>
  <si>
    <t>-3,14*0,14*0,14/4*72,95;odpočet potrubí;</t>
  </si>
  <si>
    <t>41,75*1,35*(0,306+0,3);hnědá + fialová L9-L12 (hnědá);</t>
  </si>
  <si>
    <t>-(3,14*0,306*0,306/4*41,75+3,14*0,14*0,14/4*41,75);odpočet potrubí;</t>
  </si>
  <si>
    <t>573,18*1,73*(0,306+0,3)</t>
  </si>
  <si>
    <t>-3,14*0,174*0,174/4*573,18</t>
  </si>
  <si>
    <t>-3,14*0,14*0,14/4*573,18</t>
  </si>
  <si>
    <t>-3,14*0,306*0,306/4*573,18</t>
  </si>
  <si>
    <t>2051,91515;viz hloubení rýh;</t>
  </si>
  <si>
    <t>-212,26709;viz lože;</t>
  </si>
  <si>
    <t>-750,85801;viz obsyp;</t>
  </si>
  <si>
    <t>1053,26955;viz uložení;</t>
  </si>
  <si>
    <t>Povrchové úpravy terénu</t>
  </si>
  <si>
    <t>184807111R00</t>
  </si>
  <si>
    <t>Ochrana stromu bedněním - zřízení</t>
  </si>
  <si>
    <t>18_</t>
  </si>
  <si>
    <t>60;obednění stromů;</t>
  </si>
  <si>
    <t>184807112R00</t>
  </si>
  <si>
    <t>Ochrana stromu bedněním - odstranění</t>
  </si>
  <si>
    <t>60;viz zřízení;</t>
  </si>
  <si>
    <t>982,08*0,3*0,3</t>
  </si>
  <si>
    <t>Lože pod potrubí z kameniva těženého 0 - 4 mm</t>
  </si>
  <si>
    <t>33*1*0,15;fialová ZÚ-mezi L1 a L2;</t>
  </si>
  <si>
    <t>72,95*1*0,15;fialová L15-KÚ;</t>
  </si>
  <si>
    <t>41,75*1,35*0,15;hnědá + fialová L9-L12 (hnědá);</t>
  </si>
  <si>
    <t>573,18*1,73*0,15;modrá+fialová+hnědá od ZÚ modrá do KÚ;</t>
  </si>
  <si>
    <t>212,26709;viz lože;</t>
  </si>
  <si>
    <t>56_</t>
  </si>
  <si>
    <t>879;viz odstranění asf kom;</t>
  </si>
  <si>
    <t>180,65;viz odstranění;</t>
  </si>
  <si>
    <t>57_</t>
  </si>
  <si>
    <t>5;viz odstranění;</t>
  </si>
  <si>
    <t>180,65;viz rozebrání;</t>
  </si>
  <si>
    <t>722_</t>
  </si>
  <si>
    <t>72_</t>
  </si>
  <si>
    <t>34,61*1,05;prořez;</t>
  </si>
  <si>
    <t>10;Lemový nákružek A WAVIN SDR11 PE100 D63 PN10/16;</t>
  </si>
  <si>
    <t>10;Příruba PP-OCEL WAVIN D63 PN16;</t>
  </si>
  <si>
    <t>10;PP 90st. 5049 DN50 PN16 HAWLE;</t>
  </si>
  <si>
    <t>10;Poklop hydrantový 1950 podzemní KASI;</t>
  </si>
  <si>
    <t>10;D810 DN50 2m PN16 HAWLE;</t>
  </si>
  <si>
    <t>3;modrá;</t>
  </si>
  <si>
    <t>4;hnědá;</t>
  </si>
  <si>
    <t>3;fialová;</t>
  </si>
  <si>
    <t>3;Redukce WAVIN SDR17 PE100 D90/63 PN5/10;</t>
  </si>
  <si>
    <t>3;T KUS redur. 90st. WAVIN SDR17 PE100 D140/90 PN5/10;</t>
  </si>
  <si>
    <t>648,63+72,95;fialová;</t>
  </si>
  <si>
    <t>721,58*1,05;prořez;</t>
  </si>
  <si>
    <t>573,18;modrá;</t>
  </si>
  <si>
    <t>573,18*1,05;prořez;</t>
  </si>
  <si>
    <t>874,7;hnědá;</t>
  </si>
  <si>
    <t>874,7*1,05;prořez;</t>
  </si>
  <si>
    <t>982,08;vodič;</t>
  </si>
  <si>
    <t>982,08*1,05;ztratné;</t>
  </si>
  <si>
    <t>261,2+33+72,95;šířka výkopu 1m;</t>
  </si>
  <si>
    <t>41,75*2;šířka výkopu 1,35m;</t>
  </si>
  <si>
    <t>573,18*3;šířka výkopu 1,73m;</t>
  </si>
  <si>
    <t>2170,19*0,05;ztratné;</t>
  </si>
  <si>
    <t>982,08;celková délka výkopu pro všechny šířky;</t>
  </si>
  <si>
    <t>721,58;fialová;</t>
  </si>
  <si>
    <t>Napojení na stávající potrubí</t>
  </si>
  <si>
    <t>891001101VD</t>
  </si>
  <si>
    <t>3;napojení na stávající potrubí;</t>
  </si>
  <si>
    <t>Řezání stávajícího živičného krytu tl. 10 - 15 cm</t>
  </si>
  <si>
    <t>91_</t>
  </si>
  <si>
    <t>(6+8+15+220+40)*2</t>
  </si>
  <si>
    <t>590;viz řezání;</t>
  </si>
  <si>
    <t>934,79898</t>
  </si>
  <si>
    <t>81,63574</t>
  </si>
  <si>
    <t>2232,13766</t>
  </si>
  <si>
    <t>791,1879</t>
  </si>
  <si>
    <t>791,7379</t>
  </si>
  <si>
    <t>791,7379*19;odvoz celkem do 20km;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</si>
</sst>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#.\-"/>
    <numFmt numFmtId="165" formatCode="#,##0.0"/>
    <numFmt numFmtId="166" formatCode="#,##0.00\ &quot;Kč&quot;"/>
    <numFmt numFmtId="167" formatCode="#,##0\ &quot;Kč&quot;"/>
    <numFmt numFmtId="168" formatCode="_-* #,##0\ [$Kč-405]_-;\-* #,##0\ [$Kč-405]_-;_-* &quot;-&quot;??\ [$Kč-405]_-;_-@_-"/>
    <numFmt numFmtId="169" formatCode="#,##0.\-"/>
    <numFmt numFmtId="170" formatCode="#,###"/>
  </numFmts>
  <fonts count="80">
    <font>
      <sz val="8"/>
      <name val="Trebuchet MS"/>
      <family val="2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family val="2"/>
      <charset val="238"/>
    </font>
    <font>
      <b/>
      <sz val="9"/>
      <name val="Times New Roman"/>
      <family val="1"/>
      <charset val="238"/>
    </font>
    <font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0"/>
      <name val="Arial"/>
      <family val="2"/>
      <charset val="238"/>
    </font>
    <font>
      <b/>
      <i/>
      <sz val="9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Times New Roman"/>
      <family val="1"/>
      <charset val="238"/>
    </font>
    <font>
      <i/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i/>
      <sz val="8"/>
      <name val="Arial"/>
      <family val="2"/>
      <charset val="238"/>
    </font>
    <font>
      <b/>
      <i/>
      <sz val="10"/>
      <name val="Times New Roman"/>
      <family val="1"/>
      <charset val="238"/>
    </font>
    <font>
      <b/>
      <sz val="8"/>
      <color rgb="FF960000"/>
      <name val="Times New Roman"/>
      <family val="1"/>
      <charset val="238"/>
    </font>
    <font>
      <b/>
      <i/>
      <sz val="16"/>
      <name val="Times New Roman"/>
      <family val="1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464646"/>
      <name val="Trebuchet MS"/>
      <family val="2"/>
      <charset val="238"/>
    </font>
    <font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</font>
    <font>
      <sz val="12"/>
      <name val="Trebuchet MS"/>
      <family val="2"/>
    </font>
    <font>
      <sz val="14"/>
      <name val="Trebuchet MS"/>
      <family val="2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1"/>
      <name val="Trebuchet MS"/>
      <family val="2"/>
    </font>
    <font>
      <sz val="11"/>
      <color rgb="FF000000"/>
      <name val="Inherit"/>
    </font>
    <font>
      <b/>
      <sz val="11"/>
      <color rgb="FF000000"/>
      <name val="Inherit"/>
    </font>
    <font>
      <b/>
      <sz val="8"/>
      <name val="Trebuchet MS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8"/>
      <color rgb="FF003366"/>
      <name val="Arial"/>
      <family val="2"/>
      <charset val="238"/>
    </font>
    <font>
      <sz val="8"/>
      <color rgb="FF003366"/>
      <name val="Arial"/>
      <family val="2"/>
      <charset val="238"/>
    </font>
    <font>
      <i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 CE"/>
      <family val="2"/>
      <charset val="238"/>
    </font>
    <font>
      <u/>
      <sz val="10"/>
      <color theme="10"/>
      <name val="Arial"/>
      <family val="2"/>
      <charset val="238"/>
    </font>
    <font>
      <i/>
      <sz val="10"/>
      <name val="Arial"/>
      <family val="2"/>
      <charset val="238"/>
    </font>
    <font>
      <i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color rgb="FFFF0000"/>
      <name val="Trebuchet MS"/>
      <family val="2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charset val="238"/>
    </font>
    <font>
      <sz val="1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rgb="FFFF0000"/>
      <name val="Times New Roman CE"/>
      <family val="1"/>
      <charset val="238"/>
    </font>
    <font>
      <b/>
      <sz val="11"/>
      <name val="Calibri"/>
      <family val="2"/>
      <charset val="238"/>
      <scheme val="minor"/>
    </font>
    <font>
      <i/>
      <sz val="8"/>
      <name val="Trebuchet MS"/>
      <family val="2"/>
      <charset val="238"/>
    </font>
    <font>
      <sz val="8"/>
      <name val="Arial"/>
    </font>
    <font>
      <sz val="18"/>
      <color rgb="FF000000"/>
      <name val="Arial"/>
      <charset val="238"/>
    </font>
    <font>
      <sz val="11"/>
      <name val="Calibri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i/>
      <sz val="10"/>
      <color rgb="FF000000"/>
      <name val="Arial"/>
      <charset val="238"/>
    </font>
    <font>
      <i/>
      <sz val="8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0C0C0"/>
        <bgColor indexed="9"/>
      </patternFill>
    </fill>
  </fills>
  <borders count="6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rgb="FF969696"/>
      </left>
      <right style="hair">
        <color rgb="FF969696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4" fillId="0" borderId="0"/>
    <xf numFmtId="0" fontId="9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4" fillId="0" borderId="0"/>
    <xf numFmtId="0" fontId="9" fillId="0" borderId="0"/>
    <xf numFmtId="0" fontId="63" fillId="0" borderId="0"/>
    <xf numFmtId="0" fontId="4" fillId="0" borderId="0"/>
    <xf numFmtId="0" fontId="63" fillId="0" borderId="0"/>
    <xf numFmtId="0" fontId="4" fillId="0" borderId="0"/>
    <xf numFmtId="0" fontId="62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ont="0" applyFill="0" applyBorder="0" applyAlignment="0" applyProtection="0"/>
    <xf numFmtId="0" fontId="73" fillId="0" borderId="0" applyNumberFormat="0" applyFont="0" applyFill="0" applyBorder="0" applyAlignment="0" applyProtection="0"/>
  </cellStyleXfs>
  <cellXfs count="471">
    <xf numFmtId="0" fontId="0" fillId="0" borderId="0" xfId="0"/>
    <xf numFmtId="3" fontId="5" fillId="0" borderId="0" xfId="2" applyNumberFormat="1" applyFont="1" applyAlignment="1">
      <alignment horizontal="right"/>
    </xf>
    <xf numFmtId="14" fontId="5" fillId="0" borderId="0" xfId="2" applyNumberFormat="1" applyFont="1" applyAlignment="1">
      <alignment horizontal="left"/>
    </xf>
    <xf numFmtId="14" fontId="5" fillId="0" borderId="0" xfId="2" applyNumberFormat="1" applyFont="1"/>
    <xf numFmtId="0" fontId="5" fillId="0" borderId="0" xfId="2" applyFont="1"/>
    <xf numFmtId="3" fontId="5" fillId="0" borderId="0" xfId="2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center"/>
    </xf>
    <xf numFmtId="0" fontId="7" fillId="0" borderId="0" xfId="2" applyFont="1"/>
    <xf numFmtId="0" fontId="7" fillId="0" borderId="0" xfId="2" applyFont="1" applyAlignment="1">
      <alignment wrapText="1"/>
    </xf>
    <xf numFmtId="3" fontId="7" fillId="0" borderId="0" xfId="2" applyNumberFormat="1" applyFont="1"/>
    <xf numFmtId="0" fontId="8" fillId="0" borderId="0" xfId="2" applyFont="1" applyAlignment="1">
      <alignment horizontal="center" wrapText="1"/>
    </xf>
    <xf numFmtId="0" fontId="7" fillId="0" borderId="0" xfId="3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horizontal="left"/>
    </xf>
    <xf numFmtId="3" fontId="7" fillId="0" borderId="0" xfId="2" applyNumberFormat="1" applyFont="1" applyAlignment="1">
      <alignment horizontal="right" wrapText="1"/>
    </xf>
    <xf numFmtId="0" fontId="7" fillId="0" borderId="0" xfId="3" applyFont="1" applyAlignment="1">
      <alignment wrapText="1"/>
    </xf>
    <xf numFmtId="3" fontId="7" fillId="0" borderId="0" xfId="3" applyNumberFormat="1" applyFont="1" applyAlignment="1">
      <alignment horizontal="right" wrapText="1"/>
    </xf>
    <xf numFmtId="2" fontId="13" fillId="0" borderId="0" xfId="2" applyNumberFormat="1" applyFont="1" applyAlignment="1">
      <alignment horizontal="center" wrapText="1"/>
    </xf>
    <xf numFmtId="2" fontId="7" fillId="0" borderId="0" xfId="2" applyNumberFormat="1" applyFont="1" applyAlignment="1">
      <alignment horizontal="center" wrapText="1"/>
    </xf>
    <xf numFmtId="0" fontId="5" fillId="0" borderId="1" xfId="2" applyFont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center"/>
    </xf>
    <xf numFmtId="0" fontId="10" fillId="0" borderId="0" xfId="2" applyFont="1" applyAlignment="1">
      <alignment horizontal="center"/>
    </xf>
    <xf numFmtId="3" fontId="7" fillId="0" borderId="0" xfId="2" applyNumberFormat="1" applyFont="1" applyAlignment="1">
      <alignment horizontal="center"/>
    </xf>
    <xf numFmtId="4" fontId="15" fillId="0" borderId="0" xfId="0" applyNumberFormat="1" applyFont="1" applyAlignment="1" applyProtection="1">
      <alignment vertical="center"/>
      <protection locked="0"/>
    </xf>
    <xf numFmtId="0" fontId="15" fillId="0" borderId="0" xfId="0" applyFont="1"/>
    <xf numFmtId="4" fontId="17" fillId="0" borderId="0" xfId="0" applyNumberFormat="1" applyFont="1"/>
    <xf numFmtId="3" fontId="5" fillId="0" borderId="0" xfId="2" applyNumberFormat="1" applyFont="1" applyAlignment="1">
      <alignment wrapText="1"/>
    </xf>
    <xf numFmtId="4" fontId="14" fillId="0" borderId="0" xfId="0" applyNumberFormat="1" applyFont="1"/>
    <xf numFmtId="4" fontId="10" fillId="0" borderId="0" xfId="0" applyNumberFormat="1" applyFont="1" applyAlignment="1">
      <alignment horizontal="right"/>
    </xf>
    <xf numFmtId="2" fontId="11" fillId="0" borderId="0" xfId="1" applyNumberFormat="1" applyFont="1" applyFill="1" applyBorder="1" applyAlignment="1">
      <alignment horizontal="center"/>
    </xf>
    <xf numFmtId="0" fontId="10" fillId="0" borderId="0" xfId="3" applyFont="1" applyAlignment="1">
      <alignment horizontal="center"/>
    </xf>
    <xf numFmtId="16" fontId="12" fillId="0" borderId="0" xfId="3" applyNumberFormat="1" applyFont="1" applyAlignment="1">
      <alignment horizontal="center"/>
    </xf>
    <xf numFmtId="14" fontId="5" fillId="0" borderId="3" xfId="2" applyNumberFormat="1" applyFont="1" applyBorder="1"/>
    <xf numFmtId="4" fontId="20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3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left" wrapText="1"/>
    </xf>
    <xf numFmtId="0" fontId="16" fillId="0" borderId="0" xfId="2" applyFont="1"/>
    <xf numFmtId="0" fontId="7" fillId="0" borderId="0" xfId="2" applyFont="1" applyAlignment="1">
      <alignment horizontal="right"/>
    </xf>
    <xf numFmtId="0" fontId="22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2" fillId="0" borderId="0" xfId="0" applyFont="1" applyAlignment="1">
      <alignment horizontal="center"/>
    </xf>
    <xf numFmtId="0" fontId="0" fillId="0" borderId="6" xfId="0" applyBorder="1"/>
    <xf numFmtId="0" fontId="0" fillId="0" borderId="1" xfId="0" applyBorder="1"/>
    <xf numFmtId="0" fontId="0" fillId="0" borderId="9" xfId="0" applyBorder="1"/>
    <xf numFmtId="0" fontId="22" fillId="0" borderId="7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23" fillId="0" borderId="10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27" fillId="0" borderId="7" xfId="0" applyFont="1" applyBorder="1" applyAlignment="1">
      <alignment horizontal="left" vertical="center"/>
    </xf>
    <xf numFmtId="0" fontId="0" fillId="0" borderId="5" xfId="0" applyBorder="1"/>
    <xf numFmtId="0" fontId="0" fillId="0" borderId="3" xfId="0" applyBorder="1"/>
    <xf numFmtId="0" fontId="0" fillId="0" borderId="11" xfId="0" applyBorder="1"/>
    <xf numFmtId="0" fontId="35" fillId="0" borderId="0" xfId="0" applyFont="1"/>
    <xf numFmtId="0" fontId="29" fillId="0" borderId="10" xfId="0" applyFont="1" applyBorder="1" applyAlignment="1">
      <alignment vertical="center"/>
    </xf>
    <xf numFmtId="0" fontId="7" fillId="0" borderId="1" xfId="2" applyFont="1" applyBorder="1"/>
    <xf numFmtId="0" fontId="28" fillId="0" borderId="7" xfId="0" applyFont="1" applyBorder="1" applyAlignment="1">
      <alignment horizontal="left" vertical="center"/>
    </xf>
    <xf numFmtId="0" fontId="27" fillId="0" borderId="0" xfId="0" applyFont="1" applyAlignment="1">
      <alignment horizontal="right" vertical="center"/>
    </xf>
    <xf numFmtId="0" fontId="7" fillId="0" borderId="3" xfId="2" applyFont="1" applyBorder="1" applyAlignment="1">
      <alignment horizontal="center"/>
    </xf>
    <xf numFmtId="0" fontId="33" fillId="0" borderId="0" xfId="0" applyFont="1" applyAlignment="1">
      <alignment horizontal="center" vertical="center"/>
    </xf>
    <xf numFmtId="0" fontId="24" fillId="0" borderId="8" xfId="0" applyFont="1" applyBorder="1" applyAlignment="1">
      <alignment horizontal="left" vertical="center"/>
    </xf>
    <xf numFmtId="9" fontId="31" fillId="0" borderId="0" xfId="0" applyNumberFormat="1" applyFont="1" applyAlignment="1">
      <alignment horizontal="center"/>
    </xf>
    <xf numFmtId="0" fontId="36" fillId="2" borderId="0" xfId="0" applyFont="1" applyFill="1" applyAlignment="1">
      <alignment vertical="center" wrapText="1"/>
    </xf>
    <xf numFmtId="0" fontId="3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right" vertical="center" wrapText="1"/>
    </xf>
    <xf numFmtId="0" fontId="38" fillId="0" borderId="0" xfId="0" applyFont="1"/>
    <xf numFmtId="0" fontId="0" fillId="0" borderId="0" xfId="0" applyAlignment="1">
      <alignment horizontal="center"/>
    </xf>
    <xf numFmtId="166" fontId="36" fillId="2" borderId="0" xfId="0" applyNumberFormat="1" applyFont="1" applyFill="1" applyAlignment="1">
      <alignment horizontal="left" vertical="center" wrapText="1"/>
    </xf>
    <xf numFmtId="167" fontId="24" fillId="0" borderId="0" xfId="0" applyNumberFormat="1" applyFont="1" applyAlignment="1">
      <alignment vertical="center"/>
    </xf>
    <xf numFmtId="0" fontId="41" fillId="0" borderId="0" xfId="0" applyFont="1" applyAlignment="1">
      <alignment horizontal="left" wrapText="1"/>
    </xf>
    <xf numFmtId="0" fontId="41" fillId="0" borderId="0" xfId="0" applyFont="1" applyAlignment="1">
      <alignment horizontal="center"/>
    </xf>
    <xf numFmtId="3" fontId="41" fillId="0" borderId="0" xfId="0" applyNumberFormat="1" applyFont="1" applyAlignment="1">
      <alignment horizontal="center"/>
    </xf>
    <xf numFmtId="3" fontId="19" fillId="0" borderId="0" xfId="3" applyNumberFormat="1" applyFont="1" applyAlignment="1">
      <alignment horizontal="right" wrapText="1"/>
    </xf>
    <xf numFmtId="16" fontId="19" fillId="0" borderId="0" xfId="2" applyNumberFormat="1" applyFont="1" applyAlignment="1">
      <alignment horizontal="left"/>
    </xf>
    <xf numFmtId="0" fontId="19" fillId="0" borderId="0" xfId="3" applyFont="1"/>
    <xf numFmtId="0" fontId="5" fillId="0" borderId="0" xfId="2" applyFont="1" applyAlignment="1">
      <alignment wrapText="1"/>
    </xf>
    <xf numFmtId="0" fontId="44" fillId="0" borderId="1" xfId="0" applyFont="1" applyBorder="1" applyAlignment="1">
      <alignment horizontal="center"/>
    </xf>
    <xf numFmtId="0" fontId="43" fillId="0" borderId="0" xfId="2" applyFont="1"/>
    <xf numFmtId="0" fontId="44" fillId="0" borderId="0" xfId="0" applyFont="1" applyAlignment="1">
      <alignment horizontal="center"/>
    </xf>
    <xf numFmtId="0" fontId="43" fillId="0" borderId="3" xfId="2" applyFont="1" applyBorder="1"/>
    <xf numFmtId="0" fontId="44" fillId="0" borderId="3" xfId="0" applyFont="1" applyBorder="1" applyAlignment="1">
      <alignment horizontal="center"/>
    </xf>
    <xf numFmtId="14" fontId="43" fillId="0" borderId="0" xfId="2" applyNumberFormat="1" applyFont="1"/>
    <xf numFmtId="3" fontId="43" fillId="0" borderId="0" xfId="2" applyNumberFormat="1" applyFont="1" applyAlignment="1">
      <alignment horizontal="right"/>
    </xf>
    <xf numFmtId="3" fontId="43" fillId="0" borderId="0" xfId="2" applyNumberFormat="1" applyFont="1" applyAlignment="1">
      <alignment horizontal="center"/>
    </xf>
    <xf numFmtId="0" fontId="45" fillId="0" borderId="3" xfId="2" applyFont="1" applyBorder="1" applyAlignment="1">
      <alignment horizontal="center"/>
    </xf>
    <xf numFmtId="0" fontId="41" fillId="0" borderId="3" xfId="0" applyFont="1" applyBorder="1" applyAlignment="1">
      <alignment horizontal="left"/>
    </xf>
    <xf numFmtId="0" fontId="42" fillId="0" borderId="3" xfId="2" applyFont="1" applyBorder="1" applyAlignment="1">
      <alignment horizontal="center" wrapText="1"/>
    </xf>
    <xf numFmtId="4" fontId="41" fillId="0" borderId="3" xfId="0" applyNumberFormat="1" applyFont="1" applyBorder="1" applyAlignment="1" applyProtection="1">
      <alignment vertical="center"/>
      <protection locked="0"/>
    </xf>
    <xf numFmtId="0" fontId="44" fillId="0" borderId="5" xfId="0" applyFont="1" applyBorder="1" applyAlignment="1" applyProtection="1">
      <alignment horizontal="center" vertical="center"/>
      <protection locked="0"/>
    </xf>
    <xf numFmtId="0" fontId="44" fillId="0" borderId="2" xfId="0" applyFont="1" applyBorder="1" applyAlignment="1" applyProtection="1">
      <alignment horizontal="left" vertical="center" wrapText="1"/>
      <protection locked="0"/>
    </xf>
    <xf numFmtId="0" fontId="44" fillId="0" borderId="3" xfId="0" applyFont="1" applyBorder="1" applyAlignment="1" applyProtection="1">
      <alignment horizontal="center" vertical="center" wrapText="1"/>
      <protection locked="0"/>
    </xf>
    <xf numFmtId="3" fontId="44" fillId="0" borderId="0" xfId="0" applyNumberFormat="1" applyFont="1" applyAlignment="1" applyProtection="1">
      <alignment horizontal="center" vertical="center"/>
      <protection locked="0"/>
    </xf>
    <xf numFmtId="3" fontId="44" fillId="0" borderId="3" xfId="0" applyNumberFormat="1" applyFont="1" applyBorder="1" applyAlignment="1" applyProtection="1">
      <alignment vertical="center"/>
      <protection locked="0"/>
    </xf>
    <xf numFmtId="0" fontId="44" fillId="0" borderId="2" xfId="0" applyFont="1" applyBorder="1" applyAlignment="1" applyProtection="1">
      <alignment horizontal="center" vertical="center" wrapText="1"/>
      <protection locked="0"/>
    </xf>
    <xf numFmtId="3" fontId="44" fillId="0" borderId="2" xfId="0" applyNumberFormat="1" applyFont="1" applyBorder="1" applyAlignment="1" applyProtection="1">
      <alignment horizontal="center" vertical="center"/>
      <protection locked="0"/>
    </xf>
    <xf numFmtId="3" fontId="44" fillId="0" borderId="2" xfId="0" applyNumberFormat="1" applyFont="1" applyBorder="1" applyAlignment="1" applyProtection="1">
      <alignment vertical="center"/>
      <protection locked="0"/>
    </xf>
    <xf numFmtId="3" fontId="44" fillId="0" borderId="3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165" fontId="44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3" fontId="44" fillId="0" borderId="1" xfId="0" applyNumberFormat="1" applyFont="1" applyBorder="1" applyAlignment="1" applyProtection="1">
      <alignment horizontal="center" vertical="center"/>
      <protection locked="0"/>
    </xf>
    <xf numFmtId="3" fontId="44" fillId="0" borderId="1" xfId="0" applyNumberFormat="1" applyFont="1" applyBorder="1" applyAlignment="1" applyProtection="1">
      <alignment vertical="center"/>
      <protection locked="0"/>
    </xf>
    <xf numFmtId="0" fontId="46" fillId="0" borderId="5" xfId="0" applyFont="1" applyBorder="1"/>
    <xf numFmtId="0" fontId="41" fillId="0" borderId="3" xfId="0" applyFont="1" applyBorder="1" applyAlignment="1">
      <alignment horizontal="center"/>
    </xf>
    <xf numFmtId="3" fontId="41" fillId="0" borderId="3" xfId="0" applyNumberFormat="1" applyFont="1" applyBorder="1" applyAlignment="1">
      <alignment horizontal="center"/>
    </xf>
    <xf numFmtId="3" fontId="41" fillId="0" borderId="0" xfId="0" applyNumberFormat="1" applyFont="1"/>
    <xf numFmtId="0" fontId="44" fillId="0" borderId="4" xfId="0" applyFont="1" applyBorder="1" applyAlignment="1" applyProtection="1">
      <alignment horizontal="center" vertical="center"/>
      <protection locked="0"/>
    </xf>
    <xf numFmtId="14" fontId="44" fillId="0" borderId="4" xfId="0" applyNumberFormat="1" applyFont="1" applyBorder="1" applyAlignment="1" applyProtection="1">
      <alignment horizontal="center" vertical="center"/>
      <protection locked="0"/>
    </xf>
    <xf numFmtId="165" fontId="44" fillId="0" borderId="2" xfId="0" applyNumberFormat="1" applyFont="1" applyBorder="1" applyAlignment="1" applyProtection="1">
      <alignment horizontal="center" vertical="center"/>
      <protection locked="0"/>
    </xf>
    <xf numFmtId="2" fontId="42" fillId="0" borderId="1" xfId="2" applyNumberFormat="1" applyFont="1" applyBorder="1" applyAlignment="1">
      <alignment horizontal="center" wrapText="1"/>
    </xf>
    <xf numFmtId="1" fontId="42" fillId="0" borderId="1" xfId="2" applyNumberFormat="1" applyFont="1" applyBorder="1" applyAlignment="1">
      <alignment horizontal="center" wrapText="1"/>
    </xf>
    <xf numFmtId="0" fontId="42" fillId="0" borderId="1" xfId="2" applyFont="1" applyBorder="1" applyAlignment="1">
      <alignment horizontal="center"/>
    </xf>
    <xf numFmtId="0" fontId="44" fillId="0" borderId="0" xfId="0" applyFont="1" applyAlignment="1" applyProtection="1">
      <alignment horizontal="center" vertical="center"/>
      <protection locked="0"/>
    </xf>
    <xf numFmtId="0" fontId="44" fillId="0" borderId="0" xfId="0" applyFont="1" applyAlignment="1" applyProtection="1">
      <alignment horizontal="left" vertical="center" wrapText="1"/>
      <protection locked="0"/>
    </xf>
    <xf numFmtId="0" fontId="44" fillId="0" borderId="0" xfId="0" applyFont="1" applyAlignment="1" applyProtection="1">
      <alignment horizontal="center" vertical="center" wrapText="1"/>
      <protection locked="0"/>
    </xf>
    <xf numFmtId="0" fontId="42" fillId="0" borderId="0" xfId="2" applyFont="1"/>
    <xf numFmtId="3" fontId="44" fillId="0" borderId="0" xfId="0" applyNumberFormat="1" applyFont="1" applyAlignment="1" applyProtection="1">
      <alignment vertical="center"/>
      <protection locked="0"/>
    </xf>
    <xf numFmtId="0" fontId="47" fillId="0" borderId="5" xfId="0" applyFont="1" applyBorder="1"/>
    <xf numFmtId="0" fontId="43" fillId="0" borderId="3" xfId="0" applyFont="1" applyBorder="1" applyAlignment="1">
      <alignment horizontal="left"/>
    </xf>
    <xf numFmtId="0" fontId="43" fillId="0" borderId="3" xfId="0" applyFont="1" applyBorder="1" applyAlignment="1">
      <alignment horizontal="center"/>
    </xf>
    <xf numFmtId="3" fontId="43" fillId="0" borderId="3" xfId="0" applyNumberFormat="1" applyFont="1" applyBorder="1" applyAlignment="1">
      <alignment horizontal="center"/>
    </xf>
    <xf numFmtId="0" fontId="44" fillId="0" borderId="6" xfId="0" applyFont="1" applyBorder="1" applyAlignment="1" applyProtection="1">
      <alignment horizontal="center" vertical="center"/>
      <protection locked="0"/>
    </xf>
    <xf numFmtId="0" fontId="47" fillId="0" borderId="7" xfId="0" applyFont="1" applyBorder="1"/>
    <xf numFmtId="0" fontId="41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3" fontId="45" fillId="0" borderId="0" xfId="0" applyNumberFormat="1" applyFont="1" applyAlignment="1">
      <alignment horizontal="center"/>
    </xf>
    <xf numFmtId="0" fontId="43" fillId="0" borderId="1" xfId="2" applyFont="1" applyBorder="1" applyAlignment="1">
      <alignment horizontal="left"/>
    </xf>
    <xf numFmtId="0" fontId="45" fillId="0" borderId="2" xfId="0" applyFont="1" applyBorder="1" applyAlignment="1">
      <alignment horizontal="left"/>
    </xf>
    <xf numFmtId="3" fontId="45" fillId="0" borderId="2" xfId="0" applyNumberFormat="1" applyFont="1" applyBorder="1" applyAlignment="1">
      <alignment horizontal="center"/>
    </xf>
    <xf numFmtId="0" fontId="46" fillId="0" borderId="0" xfId="0" applyFont="1"/>
    <xf numFmtId="0" fontId="45" fillId="0" borderId="3" xfId="0" applyFont="1" applyBorder="1" applyAlignment="1">
      <alignment horizontal="left"/>
    </xf>
    <xf numFmtId="0" fontId="48" fillId="0" borderId="3" xfId="0" applyFont="1" applyBorder="1" applyAlignment="1">
      <alignment horizontal="left"/>
    </xf>
    <xf numFmtId="3" fontId="48" fillId="0" borderId="3" xfId="0" applyNumberFormat="1" applyFont="1" applyBorder="1" applyAlignment="1">
      <alignment horizontal="center"/>
    </xf>
    <xf numFmtId="0" fontId="47" fillId="0" borderId="0" xfId="0" applyFont="1"/>
    <xf numFmtId="3" fontId="45" fillId="0" borderId="3" xfId="0" applyNumberFormat="1" applyFont="1" applyBorder="1" applyAlignment="1">
      <alignment horizontal="center"/>
    </xf>
    <xf numFmtId="3" fontId="42" fillId="0" borderId="0" xfId="2" applyNumberFormat="1" applyFont="1"/>
    <xf numFmtId="0" fontId="42" fillId="0" borderId="0" xfId="2" applyFont="1" applyAlignment="1">
      <alignment horizontal="center"/>
    </xf>
    <xf numFmtId="3" fontId="42" fillId="0" borderId="0" xfId="2" applyNumberFormat="1" applyFont="1" applyAlignment="1">
      <alignment horizontal="center"/>
    </xf>
    <xf numFmtId="0" fontId="42" fillId="0" borderId="0" xfId="2" applyFont="1" applyAlignment="1">
      <alignment wrapText="1"/>
    </xf>
    <xf numFmtId="0" fontId="42" fillId="0" borderId="1" xfId="2" applyFont="1" applyBorder="1"/>
    <xf numFmtId="3" fontId="42" fillId="0" borderId="1" xfId="2" applyNumberFormat="1" applyFont="1" applyBorder="1" applyAlignment="1">
      <alignment horizontal="right" wrapText="1"/>
    </xf>
    <xf numFmtId="3" fontId="42" fillId="0" borderId="0" xfId="2" applyNumberFormat="1" applyFont="1" applyAlignment="1">
      <alignment horizontal="right" wrapText="1"/>
    </xf>
    <xf numFmtId="0" fontId="42" fillId="0" borderId="3" xfId="2" applyFont="1" applyBorder="1"/>
    <xf numFmtId="3" fontId="42" fillId="0" borderId="3" xfId="2" applyNumberFormat="1" applyFont="1" applyBorder="1" applyAlignment="1">
      <alignment horizontal="right"/>
    </xf>
    <xf numFmtId="3" fontId="42" fillId="0" borderId="3" xfId="2" applyNumberFormat="1" applyFont="1" applyBorder="1" applyAlignment="1">
      <alignment horizontal="center"/>
    </xf>
    <xf numFmtId="3" fontId="42" fillId="0" borderId="0" xfId="2" applyNumberFormat="1" applyFont="1" applyAlignment="1">
      <alignment horizontal="center" wrapText="1"/>
    </xf>
    <xf numFmtId="14" fontId="42" fillId="0" borderId="3" xfId="2" applyNumberFormat="1" applyFont="1" applyBorder="1" applyAlignment="1">
      <alignment horizontal="left"/>
    </xf>
    <xf numFmtId="0" fontId="42" fillId="0" borderId="3" xfId="2" applyFont="1" applyBorder="1" applyAlignment="1">
      <alignment horizontal="center"/>
    </xf>
    <xf numFmtId="3" fontId="9" fillId="0" borderId="0" xfId="2" applyNumberFormat="1" applyFont="1"/>
    <xf numFmtId="0" fontId="50" fillId="0" borderId="0" xfId="2" applyFont="1" applyAlignment="1">
      <alignment horizontal="left" wrapText="1"/>
    </xf>
    <xf numFmtId="3" fontId="50" fillId="0" borderId="0" xfId="2" applyNumberFormat="1" applyFont="1"/>
    <xf numFmtId="0" fontId="9" fillId="0" borderId="0" xfId="3" applyAlignment="1">
      <alignment wrapText="1"/>
    </xf>
    <xf numFmtId="0" fontId="9" fillId="0" borderId="0" xfId="2" applyFont="1"/>
    <xf numFmtId="2" fontId="42" fillId="0" borderId="2" xfId="2" applyNumberFormat="1" applyFont="1" applyBorder="1" applyAlignment="1">
      <alignment horizontal="center" wrapText="1"/>
    </xf>
    <xf numFmtId="1" fontId="42" fillId="0" borderId="2" xfId="2" applyNumberFormat="1" applyFont="1" applyBorder="1" applyAlignment="1">
      <alignment horizontal="center" wrapText="1"/>
    </xf>
    <xf numFmtId="0" fontId="42" fillId="0" borderId="2" xfId="2" applyFont="1" applyBorder="1" applyAlignment="1">
      <alignment horizontal="center"/>
    </xf>
    <xf numFmtId="3" fontId="9" fillId="0" borderId="0" xfId="3" applyNumberFormat="1" applyAlignment="1">
      <alignment horizontal="right" wrapText="1"/>
    </xf>
    <xf numFmtId="3" fontId="42" fillId="0" borderId="1" xfId="2" applyNumberFormat="1" applyFont="1" applyBorder="1" applyAlignment="1">
      <alignment horizontal="center" wrapText="1"/>
    </xf>
    <xf numFmtId="14" fontId="42" fillId="0" borderId="3" xfId="2" applyNumberFormat="1" applyFont="1" applyBorder="1"/>
    <xf numFmtId="0" fontId="42" fillId="0" borderId="0" xfId="3" applyFont="1"/>
    <xf numFmtId="0" fontId="53" fillId="0" borderId="0" xfId="2" applyFont="1" applyAlignment="1">
      <alignment horizontal="center" wrapText="1"/>
    </xf>
    <xf numFmtId="0" fontId="49" fillId="0" borderId="0" xfId="2" applyFont="1" applyAlignment="1">
      <alignment horizontal="center"/>
    </xf>
    <xf numFmtId="0" fontId="54" fillId="0" borderId="0" xfId="2" applyFont="1" applyAlignment="1">
      <alignment horizontal="center" wrapText="1"/>
    </xf>
    <xf numFmtId="14" fontId="42" fillId="0" borderId="0" xfId="2" applyNumberFormat="1" applyFont="1" applyAlignment="1">
      <alignment horizontal="left"/>
    </xf>
    <xf numFmtId="0" fontId="48" fillId="0" borderId="0" xfId="2" applyFont="1" applyAlignment="1">
      <alignment horizontal="center"/>
    </xf>
    <xf numFmtId="2" fontId="56" fillId="0" borderId="0" xfId="8" applyNumberFormat="1" applyFont="1" applyFill="1" applyBorder="1" applyAlignment="1">
      <alignment horizontal="center"/>
    </xf>
    <xf numFmtId="16" fontId="57" fillId="0" borderId="0" xfId="2" applyNumberFormat="1" applyFont="1" applyAlignment="1">
      <alignment horizontal="left"/>
    </xf>
    <xf numFmtId="0" fontId="9" fillId="0" borderId="0" xfId="3"/>
    <xf numFmtId="164" fontId="42" fillId="0" borderId="0" xfId="2" applyNumberFormat="1" applyFont="1" applyAlignment="1">
      <alignment horizontal="left"/>
    </xf>
    <xf numFmtId="0" fontId="42" fillId="0" borderId="0" xfId="3" applyFont="1" applyAlignment="1">
      <alignment horizontal="center"/>
    </xf>
    <xf numFmtId="0" fontId="42" fillId="0" borderId="0" xfId="3" applyFont="1" applyAlignment="1">
      <alignment wrapText="1"/>
    </xf>
    <xf numFmtId="3" fontId="42" fillId="0" borderId="0" xfId="3" applyNumberFormat="1" applyFont="1" applyAlignment="1">
      <alignment horizontal="right" wrapText="1"/>
    </xf>
    <xf numFmtId="0" fontId="48" fillId="0" borderId="0" xfId="3" applyFont="1" applyAlignment="1">
      <alignment horizontal="center"/>
    </xf>
    <xf numFmtId="0" fontId="57" fillId="0" borderId="0" xfId="3" applyFont="1" applyAlignment="1">
      <alignment wrapText="1"/>
    </xf>
    <xf numFmtId="3" fontId="57" fillId="0" borderId="0" xfId="3" applyNumberFormat="1" applyFont="1" applyAlignment="1">
      <alignment horizontal="right" wrapText="1"/>
    </xf>
    <xf numFmtId="16" fontId="58" fillId="0" borderId="0" xfId="3" applyNumberFormat="1" applyFont="1" applyAlignment="1">
      <alignment horizontal="center"/>
    </xf>
    <xf numFmtId="2" fontId="59" fillId="0" borderId="0" xfId="2" applyNumberFormat="1" applyFont="1" applyAlignment="1">
      <alignment horizontal="center" wrapText="1"/>
    </xf>
    <xf numFmtId="0" fontId="57" fillId="0" borderId="0" xfId="2" applyFont="1"/>
    <xf numFmtId="0" fontId="57" fillId="0" borderId="0" xfId="2" applyFont="1" applyAlignment="1">
      <alignment horizontal="left" wrapText="1"/>
    </xf>
    <xf numFmtId="0" fontId="48" fillId="0" borderId="0" xfId="9" applyFont="1" applyAlignment="1">
      <alignment horizontal="center"/>
    </xf>
    <xf numFmtId="0" fontId="48" fillId="0" borderId="0" xfId="9" applyFont="1" applyAlignment="1">
      <alignment horizontal="center" wrapText="1"/>
    </xf>
    <xf numFmtId="3" fontId="48" fillId="0" borderId="0" xfId="9" applyNumberFormat="1" applyFont="1" applyAlignment="1">
      <alignment horizontal="center"/>
    </xf>
    <xf numFmtId="0" fontId="10" fillId="0" borderId="0" xfId="2" applyFont="1" applyAlignment="1">
      <alignment wrapText="1"/>
    </xf>
    <xf numFmtId="0" fontId="7" fillId="0" borderId="0" xfId="2" applyFont="1" applyAlignment="1">
      <alignment horizontal="center" wrapText="1"/>
    </xf>
    <xf numFmtId="3" fontId="60" fillId="0" borderId="0" xfId="8" applyNumberFormat="1" applyFont="1" applyFill="1" applyBorder="1" applyAlignment="1">
      <alignment horizontal="center" vertical="center" wrapText="1"/>
    </xf>
    <xf numFmtId="16" fontId="7" fillId="0" borderId="0" xfId="2" applyNumberFormat="1" applyFont="1" applyAlignment="1">
      <alignment horizontal="center"/>
    </xf>
    <xf numFmtId="164" fontId="7" fillId="0" borderId="0" xfId="2" applyNumberFormat="1" applyFont="1" applyAlignment="1">
      <alignment horizontal="left" wrapText="1"/>
    </xf>
    <xf numFmtId="1" fontId="7" fillId="0" borderId="0" xfId="2" applyNumberFormat="1" applyFont="1" applyAlignment="1">
      <alignment horizontal="center" wrapText="1"/>
    </xf>
    <xf numFmtId="3" fontId="7" fillId="0" borderId="0" xfId="3" applyNumberFormat="1" applyFont="1" applyAlignment="1">
      <alignment wrapText="1"/>
    </xf>
    <xf numFmtId="3" fontId="7" fillId="0" borderId="0" xfId="2" applyNumberFormat="1" applyFont="1" applyAlignment="1">
      <alignment wrapText="1"/>
    </xf>
    <xf numFmtId="3" fontId="7" fillId="0" borderId="0" xfId="3" applyNumberFormat="1" applyFont="1" applyAlignment="1">
      <alignment horizontal="center" wrapText="1"/>
    </xf>
    <xf numFmtId="164" fontId="42" fillId="0" borderId="0" xfId="2" applyNumberFormat="1" applyFont="1" applyAlignment="1">
      <alignment horizontal="left" wrapText="1"/>
    </xf>
    <xf numFmtId="0" fontId="18" fillId="0" borderId="0" xfId="9" applyFont="1" applyAlignment="1">
      <alignment horizontal="center"/>
    </xf>
    <xf numFmtId="0" fontId="18" fillId="0" borderId="0" xfId="9" applyFont="1" applyAlignment="1">
      <alignment horizontal="center" wrapText="1"/>
    </xf>
    <xf numFmtId="3" fontId="18" fillId="0" borderId="0" xfId="9" applyNumberFormat="1" applyFont="1" applyAlignment="1">
      <alignment horizontal="center"/>
    </xf>
    <xf numFmtId="0" fontId="48" fillId="0" borderId="12" xfId="2" applyFont="1" applyBorder="1" applyAlignment="1">
      <alignment horizontal="center"/>
    </xf>
    <xf numFmtId="0" fontId="48" fillId="0" borderId="12" xfId="2" applyFont="1" applyBorder="1" applyAlignment="1">
      <alignment wrapText="1"/>
    </xf>
    <xf numFmtId="0" fontId="42" fillId="0" borderId="12" xfId="2" applyFont="1" applyBorder="1" applyAlignment="1">
      <alignment horizontal="center" wrapText="1"/>
    </xf>
    <xf numFmtId="3" fontId="42" fillId="0" borderId="13" xfId="8" applyNumberFormat="1" applyFont="1" applyFill="1" applyBorder="1" applyAlignment="1">
      <alignment horizontal="center" vertical="center" wrapText="1"/>
    </xf>
    <xf numFmtId="0" fontId="48" fillId="0" borderId="0" xfId="2" applyFont="1" applyAlignment="1">
      <alignment wrapText="1"/>
    </xf>
    <xf numFmtId="0" fontId="42" fillId="0" borderId="0" xfId="2" applyFont="1" applyAlignment="1">
      <alignment horizontal="center" wrapText="1"/>
    </xf>
    <xf numFmtId="3" fontId="42" fillId="0" borderId="0" xfId="8" applyNumberFormat="1" applyFont="1" applyFill="1" applyBorder="1" applyAlignment="1">
      <alignment horizontal="center" vertical="center" wrapText="1"/>
    </xf>
    <xf numFmtId="16" fontId="42" fillId="0" borderId="14" xfId="2" applyNumberFormat="1" applyFont="1" applyBorder="1" applyAlignment="1">
      <alignment horizontal="center"/>
    </xf>
    <xf numFmtId="164" fontId="42" fillId="0" borderId="15" xfId="2" applyNumberFormat="1" applyFont="1" applyBorder="1" applyAlignment="1">
      <alignment horizontal="left" wrapText="1"/>
    </xf>
    <xf numFmtId="1" fontId="42" fillId="0" borderId="15" xfId="2" applyNumberFormat="1" applyFont="1" applyBorder="1" applyAlignment="1">
      <alignment horizontal="center" wrapText="1"/>
    </xf>
    <xf numFmtId="2" fontId="42" fillId="0" borderId="15" xfId="2" applyNumberFormat="1" applyFont="1" applyBorder="1" applyAlignment="1">
      <alignment horizontal="center" wrapText="1"/>
    </xf>
    <xf numFmtId="3" fontId="42" fillId="0" borderId="15" xfId="3" applyNumberFormat="1" applyFont="1" applyBorder="1" applyAlignment="1">
      <alignment wrapText="1"/>
    </xf>
    <xf numFmtId="164" fontId="42" fillId="0" borderId="2" xfId="2" applyNumberFormat="1" applyFont="1" applyBorder="1" applyAlignment="1">
      <alignment horizontal="left"/>
    </xf>
    <xf numFmtId="3" fontId="42" fillId="0" borderId="2" xfId="2" applyNumberFormat="1" applyFont="1" applyBorder="1" applyAlignment="1">
      <alignment wrapText="1"/>
    </xf>
    <xf numFmtId="3" fontId="42" fillId="0" borderId="2" xfId="3" applyNumberFormat="1" applyFont="1" applyBorder="1" applyAlignment="1">
      <alignment wrapText="1"/>
    </xf>
    <xf numFmtId="16" fontId="42" fillId="0" borderId="15" xfId="2" applyNumberFormat="1" applyFont="1" applyBorder="1" applyAlignment="1">
      <alignment horizontal="center"/>
    </xf>
    <xf numFmtId="0" fontId="42" fillId="0" borderId="2" xfId="2" applyFont="1" applyBorder="1"/>
    <xf numFmtId="0" fontId="42" fillId="0" borderId="1" xfId="2" applyFont="1" applyBorder="1" applyAlignment="1">
      <alignment wrapText="1"/>
    </xf>
    <xf numFmtId="1" fontId="42" fillId="0" borderId="0" xfId="2" applyNumberFormat="1" applyFont="1" applyAlignment="1">
      <alignment horizontal="center" wrapText="1"/>
    </xf>
    <xf numFmtId="2" fontId="42" fillId="0" borderId="0" xfId="2" applyNumberFormat="1" applyFont="1" applyAlignment="1">
      <alignment horizontal="center" wrapText="1"/>
    </xf>
    <xf numFmtId="3" fontId="42" fillId="0" borderId="0" xfId="3" applyNumberFormat="1" applyFont="1" applyAlignment="1">
      <alignment wrapText="1"/>
    </xf>
    <xf numFmtId="16" fontId="42" fillId="0" borderId="16" xfId="2" applyNumberFormat="1" applyFont="1" applyBorder="1" applyAlignment="1">
      <alignment horizontal="center"/>
    </xf>
    <xf numFmtId="3" fontId="42" fillId="0" borderId="1" xfId="3" applyNumberFormat="1" applyFont="1" applyBorder="1" applyAlignment="1">
      <alignment wrapText="1"/>
    </xf>
    <xf numFmtId="16" fontId="42" fillId="0" borderId="0" xfId="2" applyNumberFormat="1" applyFont="1" applyAlignment="1">
      <alignment horizontal="center"/>
    </xf>
    <xf numFmtId="16" fontId="42" fillId="0" borderId="1" xfId="2" applyNumberFormat="1" applyFont="1" applyBorder="1" applyAlignment="1">
      <alignment horizontal="center"/>
    </xf>
    <xf numFmtId="0" fontId="48" fillId="0" borderId="0" xfId="2" applyFont="1" applyAlignment="1">
      <alignment horizontal="center" vertical="center"/>
    </xf>
    <xf numFmtId="0" fontId="3" fillId="0" borderId="0" xfId="4" applyAlignment="1" applyProtection="1">
      <alignment horizontal="left" vertical="center" wrapText="1"/>
      <protection locked="0"/>
    </xf>
    <xf numFmtId="3" fontId="7" fillId="0" borderId="0" xfId="2" applyNumberFormat="1" applyFont="1" applyAlignment="1">
      <alignment horizontal="center" wrapText="1"/>
    </xf>
    <xf numFmtId="0" fontId="3" fillId="0" borderId="0" xfId="4" applyAlignment="1" applyProtection="1">
      <alignment horizontal="center" vertical="center" wrapText="1"/>
      <protection locked="0"/>
    </xf>
    <xf numFmtId="2" fontId="42" fillId="0" borderId="17" xfId="2" applyNumberFormat="1" applyFont="1" applyBorder="1" applyAlignment="1">
      <alignment horizontal="center" wrapText="1"/>
    </xf>
    <xf numFmtId="0" fontId="42" fillId="0" borderId="17" xfId="2" applyFont="1" applyBorder="1" applyAlignment="1">
      <alignment wrapText="1"/>
    </xf>
    <xf numFmtId="0" fontId="42" fillId="0" borderId="17" xfId="2" applyFont="1" applyBorder="1" applyAlignment="1">
      <alignment horizontal="center"/>
    </xf>
    <xf numFmtId="3" fontId="42" fillId="0" borderId="17" xfId="2" applyNumberFormat="1" applyFont="1" applyBorder="1" applyAlignment="1">
      <alignment horizontal="center"/>
    </xf>
    <xf numFmtId="3" fontId="42" fillId="0" borderId="14" xfId="3" applyNumberFormat="1" applyFont="1" applyBorder="1" applyAlignment="1">
      <alignment horizontal="center" wrapText="1"/>
    </xf>
    <xf numFmtId="3" fontId="3" fillId="0" borderId="0" xfId="5" applyNumberFormat="1" applyAlignment="1" applyProtection="1">
      <alignment horizontal="center" vertical="center"/>
      <protection locked="0"/>
    </xf>
    <xf numFmtId="2" fontId="42" fillId="0" borderId="18" xfId="2" applyNumberFormat="1" applyFont="1" applyBorder="1" applyAlignment="1">
      <alignment horizontal="center" wrapText="1"/>
    </xf>
    <xf numFmtId="0" fontId="3" fillId="0" borderId="0" xfId="6" applyAlignment="1" applyProtection="1">
      <alignment horizontal="left" vertical="center" wrapText="1"/>
      <protection locked="0"/>
    </xf>
    <xf numFmtId="1" fontId="3" fillId="0" borderId="0" xfId="6" applyNumberFormat="1" applyAlignment="1" applyProtection="1">
      <alignment horizontal="center" vertical="center"/>
      <protection locked="0"/>
    </xf>
    <xf numFmtId="0" fontId="3" fillId="0" borderId="0" xfId="6" applyAlignment="1" applyProtection="1">
      <alignment horizontal="center" vertical="center" wrapText="1"/>
      <protection locked="0"/>
    </xf>
    <xf numFmtId="2" fontId="42" fillId="0" borderId="14" xfId="2" applyNumberFormat="1" applyFont="1" applyBorder="1" applyAlignment="1">
      <alignment horizontal="center" wrapText="1"/>
    </xf>
    <xf numFmtId="0" fontId="42" fillId="0" borderId="14" xfId="2" applyFont="1" applyBorder="1" applyAlignment="1">
      <alignment wrapText="1"/>
    </xf>
    <xf numFmtId="1" fontId="42" fillId="0" borderId="14" xfId="2" applyNumberFormat="1" applyFont="1" applyBorder="1" applyAlignment="1">
      <alignment horizontal="center" wrapText="1"/>
    </xf>
    <xf numFmtId="0" fontId="42" fillId="0" borderId="16" xfId="2" applyFont="1" applyBorder="1" applyAlignment="1">
      <alignment wrapText="1"/>
    </xf>
    <xf numFmtId="0" fontId="42" fillId="0" borderId="18" xfId="2" applyFont="1" applyBorder="1" applyAlignment="1">
      <alignment wrapText="1"/>
    </xf>
    <xf numFmtId="3" fontId="42" fillId="0" borderId="15" xfId="3" applyNumberFormat="1" applyFont="1" applyBorder="1" applyAlignment="1">
      <alignment horizontal="center" wrapText="1"/>
    </xf>
    <xf numFmtId="3" fontId="42" fillId="0" borderId="2" xfId="3" applyNumberFormat="1" applyFont="1" applyBorder="1" applyAlignment="1">
      <alignment horizontal="center" wrapText="1"/>
    </xf>
    <xf numFmtId="3" fontId="42" fillId="0" borderId="0" xfId="3" applyNumberFormat="1" applyFont="1" applyAlignment="1">
      <alignment horizontal="center" wrapText="1"/>
    </xf>
    <xf numFmtId="0" fontId="48" fillId="0" borderId="3" xfId="2" applyFont="1" applyBorder="1" applyAlignment="1">
      <alignment horizontal="center"/>
    </xf>
    <xf numFmtId="0" fontId="48" fillId="0" borderId="3" xfId="2" applyFont="1" applyBorder="1" applyAlignment="1">
      <alignment wrapText="1"/>
    </xf>
    <xf numFmtId="1" fontId="42" fillId="0" borderId="18" xfId="2" applyNumberFormat="1" applyFont="1" applyBorder="1" applyAlignment="1">
      <alignment horizontal="center" wrapText="1"/>
    </xf>
    <xf numFmtId="3" fontId="42" fillId="0" borderId="18" xfId="3" applyNumberFormat="1" applyFont="1" applyBorder="1" applyAlignment="1">
      <alignment horizontal="center" wrapText="1"/>
    </xf>
    <xf numFmtId="0" fontId="42" fillId="0" borderId="17" xfId="2" applyFont="1" applyBorder="1" applyAlignment="1">
      <alignment horizontal="center" wrapText="1"/>
    </xf>
    <xf numFmtId="2" fontId="42" fillId="0" borderId="16" xfId="2" applyNumberFormat="1" applyFont="1" applyBorder="1" applyAlignment="1">
      <alignment horizontal="center" wrapText="1"/>
    </xf>
    <xf numFmtId="0" fontId="42" fillId="0" borderId="15" xfId="2" applyFont="1" applyBorder="1" applyAlignment="1">
      <alignment wrapText="1"/>
    </xf>
    <xf numFmtId="3" fontId="42" fillId="0" borderId="1" xfId="2" applyNumberFormat="1" applyFont="1" applyBorder="1" applyAlignment="1">
      <alignment horizontal="center"/>
    </xf>
    <xf numFmtId="0" fontId="42" fillId="0" borderId="2" xfId="2" applyFont="1" applyBorder="1" applyAlignment="1">
      <alignment wrapText="1"/>
    </xf>
    <xf numFmtId="0" fontId="42" fillId="0" borderId="3" xfId="2" applyFont="1" applyBorder="1" applyAlignment="1">
      <alignment wrapText="1"/>
    </xf>
    <xf numFmtId="1" fontId="7" fillId="0" borderId="0" xfId="3" applyNumberFormat="1" applyFont="1" applyAlignment="1">
      <alignment horizontal="center" vertical="center" wrapText="1"/>
    </xf>
    <xf numFmtId="2" fontId="7" fillId="0" borderId="0" xfId="3" applyNumberFormat="1" applyFont="1" applyAlignment="1">
      <alignment horizontal="center" wrapText="1"/>
    </xf>
    <xf numFmtId="3" fontId="7" fillId="0" borderId="0" xfId="3" applyNumberFormat="1" applyFont="1" applyAlignment="1">
      <alignment horizontal="center" vertical="top" wrapText="1"/>
    </xf>
    <xf numFmtId="16" fontId="10" fillId="0" borderId="0" xfId="3" applyNumberFormat="1" applyFont="1" applyAlignment="1">
      <alignment horizontal="center"/>
    </xf>
    <xf numFmtId="0" fontId="10" fillId="0" borderId="0" xfId="3" applyFont="1" applyAlignment="1">
      <alignment wrapText="1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center" wrapText="1"/>
    </xf>
    <xf numFmtId="3" fontId="42" fillId="0" borderId="2" xfId="2" applyNumberFormat="1" applyFont="1" applyBorder="1" applyAlignment="1">
      <alignment horizontal="center"/>
    </xf>
    <xf numFmtId="2" fontId="42" fillId="0" borderId="3" xfId="2" applyNumberFormat="1" applyFont="1" applyBorder="1" applyAlignment="1">
      <alignment horizontal="center" wrapText="1"/>
    </xf>
    <xf numFmtId="3" fontId="42" fillId="0" borderId="2" xfId="2" applyNumberFormat="1" applyFont="1" applyBorder="1" applyAlignment="1">
      <alignment horizontal="center" wrapText="1"/>
    </xf>
    <xf numFmtId="0" fontId="44" fillId="0" borderId="19" xfId="4" applyFont="1" applyBorder="1" applyAlignment="1" applyProtection="1">
      <alignment horizontal="center" vertical="center" wrapText="1"/>
      <protection locked="0"/>
    </xf>
    <xf numFmtId="0" fontId="42" fillId="0" borderId="2" xfId="2" applyFont="1" applyBorder="1" applyAlignment="1">
      <alignment horizontal="center" wrapText="1"/>
    </xf>
    <xf numFmtId="0" fontId="7" fillId="0" borderId="2" xfId="2" applyFont="1" applyBorder="1" applyAlignment="1">
      <alignment wrapText="1"/>
    </xf>
    <xf numFmtId="1" fontId="44" fillId="0" borderId="19" xfId="6" applyNumberFormat="1" applyFont="1" applyBorder="1" applyAlignment="1" applyProtection="1">
      <alignment horizontal="center" vertical="center"/>
      <protection locked="0"/>
    </xf>
    <xf numFmtId="0" fontId="44" fillId="0" borderId="19" xfId="6" applyFont="1" applyBorder="1" applyAlignment="1" applyProtection="1">
      <alignment horizontal="center" vertical="center" wrapText="1"/>
      <protection locked="0"/>
    </xf>
    <xf numFmtId="3" fontId="44" fillId="0" borderId="19" xfId="5" applyNumberFormat="1" applyFont="1" applyBorder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left" vertical="center" wrapText="1"/>
      <protection locked="0"/>
    </xf>
    <xf numFmtId="1" fontId="44" fillId="0" borderId="1" xfId="6" applyNumberFormat="1" applyFont="1" applyBorder="1" applyAlignment="1" applyProtection="1">
      <alignment horizontal="center" vertical="center"/>
      <protection locked="0"/>
    </xf>
    <xf numFmtId="0" fontId="44" fillId="0" borderId="1" xfId="6" applyFont="1" applyBorder="1" applyAlignment="1" applyProtection="1">
      <alignment horizontal="center" vertical="center" wrapText="1"/>
      <protection locked="0"/>
    </xf>
    <xf numFmtId="3" fontId="44" fillId="0" borderId="1" xfId="5" applyNumberFormat="1" applyFont="1" applyBorder="1" applyAlignment="1" applyProtection="1">
      <alignment horizontal="center" vertical="center"/>
      <protection locked="0"/>
    </xf>
    <xf numFmtId="1" fontId="44" fillId="0" borderId="3" xfId="6" applyNumberFormat="1" applyFont="1" applyBorder="1" applyAlignment="1" applyProtection="1">
      <alignment horizontal="center" vertical="center"/>
      <protection locked="0"/>
    </xf>
    <xf numFmtId="0" fontId="44" fillId="0" borderId="3" xfId="6" applyFont="1" applyBorder="1" applyAlignment="1" applyProtection="1">
      <alignment horizontal="center" vertical="center" wrapText="1"/>
      <protection locked="0"/>
    </xf>
    <xf numFmtId="3" fontId="44" fillId="0" borderId="3" xfId="5" applyNumberFormat="1" applyFont="1" applyBorder="1" applyAlignment="1" applyProtection="1">
      <alignment horizontal="center" vertical="center"/>
      <protection locked="0"/>
    </xf>
    <xf numFmtId="1" fontId="44" fillId="0" borderId="0" xfId="6" applyNumberFormat="1" applyFont="1" applyAlignment="1" applyProtection="1">
      <alignment horizontal="center" vertical="center"/>
      <protection locked="0"/>
    </xf>
    <xf numFmtId="0" fontId="44" fillId="0" borderId="0" xfId="6" applyFont="1" applyAlignment="1" applyProtection="1">
      <alignment horizontal="center" vertical="center" wrapText="1"/>
      <protection locked="0"/>
    </xf>
    <xf numFmtId="3" fontId="44" fillId="0" borderId="0" xfId="5" applyNumberFormat="1" applyFont="1" applyAlignment="1" applyProtection="1">
      <alignment horizontal="center" vertical="center"/>
      <protection locked="0"/>
    </xf>
    <xf numFmtId="1" fontId="42" fillId="0" borderId="0" xfId="3" applyNumberFormat="1" applyFont="1" applyAlignment="1">
      <alignment horizontal="center" vertical="center" wrapText="1"/>
    </xf>
    <xf numFmtId="2" fontId="42" fillId="0" borderId="0" xfId="3" applyNumberFormat="1" applyFont="1" applyAlignment="1">
      <alignment horizontal="center" wrapText="1"/>
    </xf>
    <xf numFmtId="3" fontId="42" fillId="0" borderId="0" xfId="3" applyNumberFormat="1" applyFont="1" applyAlignment="1">
      <alignment horizontal="center" vertical="top" wrapText="1"/>
    </xf>
    <xf numFmtId="16" fontId="48" fillId="0" borderId="3" xfId="3" applyNumberFormat="1" applyFont="1" applyBorder="1" applyAlignment="1">
      <alignment horizontal="center"/>
    </xf>
    <xf numFmtId="0" fontId="48" fillId="0" borderId="3" xfId="3" applyFont="1" applyBorder="1" applyAlignment="1">
      <alignment wrapText="1"/>
    </xf>
    <xf numFmtId="1" fontId="42" fillId="0" borderId="3" xfId="2" applyNumberFormat="1" applyFont="1" applyBorder="1" applyAlignment="1">
      <alignment horizontal="center" wrapText="1"/>
    </xf>
    <xf numFmtId="3" fontId="42" fillId="0" borderId="3" xfId="3" applyNumberFormat="1" applyFont="1" applyBorder="1" applyAlignment="1">
      <alignment horizontal="center" wrapText="1"/>
    </xf>
    <xf numFmtId="0" fontId="42" fillId="0" borderId="3" xfId="3" applyFont="1" applyBorder="1" applyAlignment="1">
      <alignment horizontal="center"/>
    </xf>
    <xf numFmtId="0" fontId="42" fillId="0" borderId="3" xfId="3" applyFont="1" applyBorder="1" applyAlignment="1">
      <alignment horizontal="center" wrapText="1"/>
    </xf>
    <xf numFmtId="0" fontId="42" fillId="0" borderId="2" xfId="3" applyFont="1" applyBorder="1" applyAlignment="1">
      <alignment wrapText="1"/>
    </xf>
    <xf numFmtId="0" fontId="42" fillId="0" borderId="2" xfId="3" applyFont="1" applyBorder="1" applyAlignment="1">
      <alignment horizontal="center"/>
    </xf>
    <xf numFmtId="0" fontId="48" fillId="0" borderId="20" xfId="2" applyFont="1" applyBorder="1" applyAlignment="1">
      <alignment horizontal="center"/>
    </xf>
    <xf numFmtId="0" fontId="48" fillId="0" borderId="20" xfId="3" applyFont="1" applyBorder="1" applyAlignment="1">
      <alignment wrapText="1"/>
    </xf>
    <xf numFmtId="1" fontId="42" fillId="0" borderId="20" xfId="3" applyNumberFormat="1" applyFont="1" applyBorder="1" applyAlignment="1">
      <alignment horizontal="center" vertical="center" wrapText="1"/>
    </xf>
    <xf numFmtId="2" fontId="42" fillId="0" borderId="20" xfId="3" applyNumberFormat="1" applyFont="1" applyBorder="1" applyAlignment="1">
      <alignment horizontal="center" wrapText="1"/>
    </xf>
    <xf numFmtId="49" fontId="42" fillId="0" borderId="20" xfId="3" applyNumberFormat="1" applyFont="1" applyBorder="1" applyAlignment="1">
      <alignment horizontal="center" vertical="top" wrapText="1"/>
    </xf>
    <xf numFmtId="3" fontId="48" fillId="0" borderId="20" xfId="3" applyNumberFormat="1" applyFont="1" applyBorder="1" applyAlignment="1">
      <alignment horizontal="center" wrapText="1"/>
    </xf>
    <xf numFmtId="168" fontId="24" fillId="0" borderId="0" xfId="7" applyNumberFormat="1" applyFont="1" applyAlignment="1">
      <alignment vertical="center"/>
    </xf>
    <xf numFmtId="0" fontId="62" fillId="0" borderId="21" xfId="10" applyFont="1" applyBorder="1" applyAlignment="1">
      <alignment horizontal="centerContinuous"/>
    </xf>
    <xf numFmtId="0" fontId="62" fillId="0" borderId="22" xfId="10" applyFont="1" applyBorder="1" applyAlignment="1">
      <alignment horizontal="centerContinuous"/>
    </xf>
    <xf numFmtId="0" fontId="62" fillId="0" borderId="22" xfId="11" applyFont="1" applyBorder="1"/>
    <xf numFmtId="0" fontId="62" fillId="0" borderId="22" xfId="10" applyFont="1" applyBorder="1" applyAlignment="1">
      <alignment horizontal="left"/>
    </xf>
    <xf numFmtId="169" fontId="62" fillId="0" borderId="22" xfId="10" applyNumberFormat="1" applyFont="1" applyBorder="1" applyAlignment="1">
      <alignment horizontal="center"/>
    </xf>
    <xf numFmtId="0" fontId="62" fillId="0" borderId="23" xfId="10" applyFont="1" applyBorder="1" applyAlignment="1">
      <alignment horizontal="left"/>
    </xf>
    <xf numFmtId="0" fontId="62" fillId="0" borderId="0" xfId="10" applyFont="1"/>
    <xf numFmtId="0" fontId="4" fillId="0" borderId="0" xfId="12"/>
    <xf numFmtId="0" fontId="62" fillId="0" borderId="24" xfId="10" applyFont="1" applyBorder="1" applyAlignment="1">
      <alignment horizontal="centerContinuous"/>
    </xf>
    <xf numFmtId="0" fontId="62" fillId="0" borderId="0" xfId="10" applyFont="1" applyAlignment="1">
      <alignment horizontal="centerContinuous"/>
    </xf>
    <xf numFmtId="0" fontId="62" fillId="0" borderId="0" xfId="10" applyFont="1" applyAlignment="1">
      <alignment horizontal="left"/>
    </xf>
    <xf numFmtId="0" fontId="62" fillId="0" borderId="0" xfId="10" applyFont="1" applyAlignment="1">
      <alignment horizontal="right"/>
    </xf>
    <xf numFmtId="169" fontId="62" fillId="0" borderId="0" xfId="10" applyNumberFormat="1" applyFont="1" applyAlignment="1">
      <alignment horizontal="center"/>
    </xf>
    <xf numFmtId="0" fontId="62" fillId="0" borderId="25" xfId="10" applyFont="1" applyBorder="1" applyAlignment="1">
      <alignment horizontal="left"/>
    </xf>
    <xf numFmtId="0" fontId="62" fillId="0" borderId="26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" vertical="center" wrapText="1"/>
    </xf>
    <xf numFmtId="0" fontId="62" fillId="0" borderId="27" xfId="13" applyFont="1" applyBorder="1" applyAlignment="1">
      <alignment horizontal="centerContinuous" vertical="center"/>
    </xf>
    <xf numFmtId="3" fontId="62" fillId="0" borderId="27" xfId="13" applyNumberFormat="1" applyFont="1" applyBorder="1" applyAlignment="1">
      <alignment horizontal="center" vertical="center" wrapText="1"/>
    </xf>
    <xf numFmtId="169" fontId="62" fillId="0" borderId="27" xfId="13" applyNumberFormat="1" applyFont="1" applyBorder="1" applyAlignment="1">
      <alignment horizontal="center" vertical="center" wrapText="1"/>
    </xf>
    <xf numFmtId="169" fontId="62" fillId="0" borderId="28" xfId="13" applyNumberFormat="1" applyFont="1" applyBorder="1" applyAlignment="1">
      <alignment horizontal="center" vertical="center" wrapText="1"/>
    </xf>
    <xf numFmtId="0" fontId="62" fillId="0" borderId="29" xfId="14" applyFont="1" applyBorder="1" applyAlignment="1">
      <alignment horizontal="centerContinuous" vertical="center" shrinkToFit="1"/>
    </xf>
    <xf numFmtId="0" fontId="62" fillId="0" borderId="30" xfId="10" applyFont="1" applyBorder="1" applyAlignment="1">
      <alignment horizontal="center" vertical="top" wrapText="1"/>
    </xf>
    <xf numFmtId="0" fontId="62" fillId="0" borderId="31" xfId="10" applyFont="1" applyBorder="1" applyAlignment="1">
      <alignment horizontal="center" vertical="top" wrapText="1"/>
    </xf>
    <xf numFmtId="0" fontId="64" fillId="0" borderId="31" xfId="11" applyFont="1" applyBorder="1" applyAlignment="1">
      <alignment horizontal="left"/>
    </xf>
    <xf numFmtId="3" fontId="65" fillId="0" borderId="31" xfId="11" applyNumberFormat="1" applyFont="1" applyBorder="1" applyAlignment="1">
      <alignment horizontal="center"/>
    </xf>
    <xf numFmtId="49" fontId="63" fillId="0" borderId="31" xfId="11" applyNumberFormat="1" applyBorder="1" applyAlignment="1">
      <alignment horizontal="center"/>
    </xf>
    <xf numFmtId="169" fontId="62" fillId="0" borderId="31" xfId="10" applyNumberFormat="1" applyFont="1" applyBorder="1" applyAlignment="1">
      <alignment horizontal="center" vertical="top" wrapText="1"/>
    </xf>
    <xf numFmtId="169" fontId="62" fillId="0" borderId="32" xfId="10" applyNumberFormat="1" applyFont="1" applyBorder="1" applyAlignment="1">
      <alignment horizontal="center" vertical="top" wrapText="1"/>
    </xf>
    <xf numFmtId="169" fontId="62" fillId="0" borderId="33" xfId="10" applyNumberFormat="1" applyFont="1" applyBorder="1" applyAlignment="1">
      <alignment horizontal="center" vertical="top" wrapText="1"/>
    </xf>
    <xf numFmtId="0" fontId="62" fillId="0" borderId="34" xfId="10" applyFont="1" applyBorder="1" applyAlignment="1">
      <alignment vertical="top" wrapText="1"/>
    </xf>
    <xf numFmtId="0" fontId="62" fillId="0" borderId="30" xfId="10" applyFont="1" applyBorder="1" applyAlignment="1">
      <alignment horizontal="right" vertical="top" wrapText="1"/>
    </xf>
    <xf numFmtId="0" fontId="62" fillId="0" borderId="31" xfId="10" applyFont="1" applyBorder="1" applyAlignment="1">
      <alignment horizontal="center" vertical="top"/>
    </xf>
    <xf numFmtId="0" fontId="65" fillId="0" borderId="31" xfId="11" applyFont="1" applyBorder="1" applyAlignment="1">
      <alignment horizontal="left" vertical="top"/>
    </xf>
    <xf numFmtId="0" fontId="62" fillId="0" borderId="33" xfId="10" applyFont="1" applyBorder="1" applyAlignment="1">
      <alignment vertical="top" wrapText="1"/>
    </xf>
    <xf numFmtId="0" fontId="62" fillId="0" borderId="31" xfId="10" applyFont="1" applyBorder="1" applyAlignment="1">
      <alignment vertical="top" wrapText="1"/>
    </xf>
    <xf numFmtId="0" fontId="65" fillId="0" borderId="31" xfId="11" applyFont="1" applyBorder="1" applyAlignment="1">
      <alignment horizontal="left"/>
    </xf>
    <xf numFmtId="0" fontId="65" fillId="0" borderId="33" xfId="11" applyFont="1" applyBorder="1" applyAlignment="1">
      <alignment horizontal="left"/>
    </xf>
    <xf numFmtId="0" fontId="66" fillId="0" borderId="31" xfId="10" applyFont="1" applyBorder="1" applyAlignment="1">
      <alignment horizontal="left" vertical="top" wrapText="1"/>
    </xf>
    <xf numFmtId="0" fontId="65" fillId="0" borderId="31" xfId="11" applyFont="1" applyBorder="1" applyAlignment="1">
      <alignment horizontal="left" wrapText="1"/>
    </xf>
    <xf numFmtId="0" fontId="65" fillId="0" borderId="33" xfId="11" applyFont="1" applyBorder="1" applyAlignment="1">
      <alignment horizontal="left" wrapText="1"/>
    </xf>
    <xf numFmtId="49" fontId="63" fillId="0" borderId="31" xfId="11" applyNumberFormat="1" applyBorder="1" applyAlignment="1">
      <alignment horizontal="center" vertical="top"/>
    </xf>
    <xf numFmtId="0" fontId="65" fillId="0" borderId="35" xfId="11" applyFont="1" applyBorder="1" applyAlignment="1">
      <alignment horizontal="left" wrapText="1"/>
    </xf>
    <xf numFmtId="0" fontId="65" fillId="0" borderId="34" xfId="11" applyFont="1" applyBorder="1" applyAlignment="1">
      <alignment horizontal="left" wrapText="1"/>
    </xf>
    <xf numFmtId="0" fontId="65" fillId="0" borderId="31" xfId="11" applyFont="1" applyBorder="1" applyAlignment="1">
      <alignment horizontal="left" vertical="top" wrapText="1"/>
    </xf>
    <xf numFmtId="0" fontId="65" fillId="0" borderId="31" xfId="11" applyFont="1" applyBorder="1" applyAlignment="1">
      <alignment vertical="top" wrapText="1"/>
    </xf>
    <xf numFmtId="3" fontId="63" fillId="0" borderId="31" xfId="11" applyNumberFormat="1" applyBorder="1" applyAlignment="1">
      <alignment horizontal="center" vertical="top"/>
    </xf>
    <xf numFmtId="170" fontId="68" fillId="0" borderId="31" xfId="15" applyNumberFormat="1" applyFont="1" applyBorder="1" applyAlignment="1">
      <alignment horizontal="center" vertical="top" wrapText="1"/>
    </xf>
    <xf numFmtId="0" fontId="68" fillId="0" borderId="0" xfId="16" applyFont="1"/>
    <xf numFmtId="0" fontId="63" fillId="0" borderId="31" xfId="11" applyBorder="1" applyAlignment="1">
      <alignment horizontal="left"/>
    </xf>
    <xf numFmtId="0" fontId="65" fillId="0" borderId="31" xfId="17" applyFont="1" applyBorder="1" applyAlignment="1">
      <alignment wrapText="1"/>
    </xf>
    <xf numFmtId="0" fontId="65" fillId="0" borderId="33" xfId="17" applyFont="1" applyBorder="1"/>
    <xf numFmtId="0" fontId="65" fillId="0" borderId="31" xfId="17" applyFont="1" applyBorder="1"/>
    <xf numFmtId="0" fontId="69" fillId="0" borderId="30" xfId="10" applyFont="1" applyBorder="1" applyAlignment="1">
      <alignment horizontal="right" vertical="top" wrapText="1"/>
    </xf>
    <xf numFmtId="0" fontId="69" fillId="0" borderId="31" xfId="10" applyFont="1" applyBorder="1" applyAlignment="1">
      <alignment horizontal="center" vertical="top"/>
    </xf>
    <xf numFmtId="0" fontId="70" fillId="0" borderId="31" xfId="11" applyFont="1" applyBorder="1" applyAlignment="1">
      <alignment horizontal="left"/>
    </xf>
    <xf numFmtId="170" fontId="52" fillId="0" borderId="31" xfId="15" applyNumberFormat="1" applyFont="1" applyBorder="1" applyAlignment="1">
      <alignment horizontal="center" vertical="top" wrapText="1"/>
    </xf>
    <xf numFmtId="0" fontId="69" fillId="0" borderId="31" xfId="10" applyFont="1" applyBorder="1" applyAlignment="1">
      <alignment horizontal="center" vertical="top" wrapText="1"/>
    </xf>
    <xf numFmtId="169" fontId="69" fillId="0" borderId="31" xfId="10" applyNumberFormat="1" applyFont="1" applyBorder="1" applyAlignment="1">
      <alignment horizontal="center" vertical="top" wrapText="1"/>
    </xf>
    <xf numFmtId="169" fontId="69" fillId="0" borderId="32" xfId="10" applyNumberFormat="1" applyFont="1" applyBorder="1" applyAlignment="1">
      <alignment horizontal="center" vertical="top" wrapText="1"/>
    </xf>
    <xf numFmtId="0" fontId="69" fillId="0" borderId="33" xfId="10" applyFont="1" applyBorder="1" applyAlignment="1">
      <alignment vertical="top" wrapText="1"/>
    </xf>
    <xf numFmtId="0" fontId="65" fillId="0" borderId="31" xfId="15" applyFont="1" applyBorder="1" applyAlignment="1">
      <alignment horizontal="left"/>
    </xf>
    <xf numFmtId="0" fontId="65" fillId="0" borderId="33" xfId="15" applyFont="1" applyBorder="1" applyAlignment="1">
      <alignment horizontal="left"/>
    </xf>
    <xf numFmtId="0" fontId="62" fillId="0" borderId="36" xfId="10" applyFont="1" applyBorder="1" applyAlignment="1">
      <alignment horizontal="center" vertical="top" wrapText="1"/>
    </xf>
    <xf numFmtId="0" fontId="63" fillId="0" borderId="37" xfId="11" applyBorder="1"/>
    <xf numFmtId="0" fontId="62" fillId="0" borderId="38" xfId="10" applyFont="1" applyBorder="1" applyAlignment="1">
      <alignment horizontal="right" vertical="top" wrapText="1"/>
    </xf>
    <xf numFmtId="0" fontId="62" fillId="0" borderId="39" xfId="10" applyFont="1" applyBorder="1" applyAlignment="1">
      <alignment horizontal="center" vertical="top" wrapText="1"/>
    </xf>
    <xf numFmtId="0" fontId="65" fillId="0" borderId="39" xfId="15" applyFont="1" applyBorder="1" applyAlignment="1">
      <alignment horizontal="left"/>
    </xf>
    <xf numFmtId="169" fontId="62" fillId="0" borderId="39" xfId="10" applyNumberFormat="1" applyFont="1" applyBorder="1" applyAlignment="1">
      <alignment horizontal="center" vertical="top" wrapText="1"/>
    </xf>
    <xf numFmtId="169" fontId="62" fillId="0" borderId="40" xfId="10" applyNumberFormat="1" applyFont="1" applyBorder="1" applyAlignment="1">
      <alignment horizontal="center" vertical="top" wrapText="1"/>
    </xf>
    <xf numFmtId="169" fontId="62" fillId="0" borderId="41" xfId="10" applyNumberFormat="1" applyFont="1" applyBorder="1" applyAlignment="1">
      <alignment horizontal="center" vertical="top" wrapText="1"/>
    </xf>
    <xf numFmtId="0" fontId="63" fillId="0" borderId="42" xfId="11" applyBorder="1"/>
    <xf numFmtId="0" fontId="68" fillId="0" borderId="0" xfId="18" applyFont="1"/>
    <xf numFmtId="0" fontId="71" fillId="0" borderId="0" xfId="18" applyFont="1"/>
    <xf numFmtId="169" fontId="71" fillId="0" borderId="0" xfId="18" applyNumberFormat="1" applyFont="1"/>
    <xf numFmtId="0" fontId="1" fillId="0" borderId="0" xfId="19"/>
    <xf numFmtId="0" fontId="68" fillId="0" borderId="0" xfId="20" applyFont="1"/>
    <xf numFmtId="0" fontId="68" fillId="0" borderId="0" xfId="21" applyFont="1"/>
    <xf numFmtId="0" fontId="71" fillId="0" borderId="0" xfId="21" applyFont="1"/>
    <xf numFmtId="169" fontId="71" fillId="0" borderId="0" xfId="21" applyNumberFormat="1" applyFont="1"/>
    <xf numFmtId="0" fontId="0" fillId="0" borderId="0" xfId="0" applyAlignment="1">
      <alignment wrapText="1"/>
    </xf>
    <xf numFmtId="0" fontId="61" fillId="0" borderId="1" xfId="0" applyFont="1" applyBorder="1" applyAlignment="1">
      <alignment vertical="center"/>
    </xf>
    <xf numFmtId="3" fontId="41" fillId="0" borderId="3" xfId="0" applyNumberFormat="1" applyFont="1" applyBorder="1"/>
    <xf numFmtId="0" fontId="72" fillId="0" borderId="2" xfId="0" applyFont="1" applyBorder="1" applyAlignment="1">
      <alignment vertical="center" wrapText="1"/>
    </xf>
    <xf numFmtId="0" fontId="72" fillId="0" borderId="2" xfId="0" applyFont="1" applyBorder="1" applyAlignment="1">
      <alignment vertical="center"/>
    </xf>
    <xf numFmtId="168" fontId="0" fillId="0" borderId="0" xfId="0" applyNumberFormat="1"/>
    <xf numFmtId="43" fontId="0" fillId="0" borderId="0" xfId="7" applyFont="1"/>
    <xf numFmtId="0" fontId="75" fillId="0" borderId="0" xfId="23" applyNumberFormat="1" applyFont="1" applyFill="1" applyBorder="1" applyAlignment="1" applyProtection="1"/>
    <xf numFmtId="4" fontId="76" fillId="3" borderId="0" xfId="23" applyNumberFormat="1" applyFont="1" applyFill="1" applyBorder="1" applyAlignment="1" applyProtection="1">
      <alignment horizontal="righ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0" fontId="76" fillId="0" borderId="61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center" vertical="center"/>
    </xf>
    <xf numFmtId="0" fontId="76" fillId="0" borderId="50" xfId="23" applyNumberFormat="1" applyFont="1" applyFill="1" applyBorder="1" applyAlignment="1" applyProtection="1">
      <alignment horizontal="center" vertical="center"/>
    </xf>
    <xf numFmtId="0" fontId="76" fillId="0" borderId="48" xfId="23" applyNumberFormat="1" applyFont="1" applyFill="1" applyBorder="1" applyAlignment="1" applyProtection="1">
      <alignment horizontal="center" vertical="center"/>
    </xf>
    <xf numFmtId="0" fontId="76" fillId="3" borderId="0" xfId="23" applyNumberFormat="1" applyFont="1" applyFill="1" applyBorder="1" applyAlignment="1" applyProtection="1">
      <alignment horizontal="right" vertical="center"/>
    </xf>
    <xf numFmtId="0" fontId="76" fillId="0" borderId="0" xfId="23" applyNumberFormat="1" applyFont="1" applyFill="1" applyBorder="1" applyAlignment="1" applyProtection="1">
      <alignment horizontal="right" vertical="center"/>
    </xf>
    <xf numFmtId="0" fontId="77" fillId="0" borderId="62" xfId="23" applyNumberFormat="1" applyFont="1" applyFill="1" applyBorder="1" applyAlignment="1" applyProtection="1">
      <alignment horizontal="left" vertical="center"/>
    </xf>
    <xf numFmtId="0" fontId="77" fillId="0" borderId="55" xfId="23" applyNumberFormat="1" applyFont="1" applyFill="1" applyBorder="1" applyAlignment="1" applyProtection="1">
      <alignment horizontal="left" vertical="center"/>
    </xf>
    <xf numFmtId="0" fontId="76" fillId="0" borderId="56" xfId="23" applyNumberFormat="1" applyFont="1" applyFill="1" applyBorder="1" applyAlignment="1" applyProtection="1">
      <alignment horizontal="center" vertical="center"/>
    </xf>
    <xf numFmtId="0" fontId="76" fillId="0" borderId="54" xfId="23" applyNumberFormat="1" applyFont="1" applyFill="1" applyBorder="1" applyAlignment="1" applyProtection="1">
      <alignment horizontal="center" vertical="center"/>
    </xf>
    <xf numFmtId="0" fontId="76" fillId="0" borderId="55" xfId="23" applyNumberFormat="1" applyFont="1" applyFill="1" applyBorder="1" applyAlignment="1" applyProtection="1">
      <alignment horizontal="center" vertical="center"/>
    </xf>
    <xf numFmtId="0" fontId="76" fillId="0" borderId="57" xfId="23" applyNumberFormat="1" applyFont="1" applyFill="1" applyBorder="1" applyAlignment="1" applyProtection="1">
      <alignment horizontal="center" vertical="center"/>
    </xf>
    <xf numFmtId="0" fontId="77" fillId="3" borderId="46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7" fillId="3" borderId="0" xfId="23" applyNumberFormat="1" applyFont="1" applyFill="1" applyBorder="1" applyAlignment="1" applyProtection="1">
      <alignment horizontal="left" vertical="center"/>
    </xf>
    <xf numFmtId="0" fontId="76" fillId="3" borderId="47" xfId="23" applyNumberFormat="1" applyFont="1" applyFill="1" applyBorder="1" applyAlignment="1" applyProtection="1">
      <alignment horizontal="right" vertical="center"/>
    </xf>
    <xf numFmtId="4" fontId="77" fillId="0" borderId="0" xfId="23" applyNumberFormat="1" applyFont="1" applyFill="1" applyBorder="1" applyAlignment="1" applyProtection="1">
      <alignment horizontal="right" vertical="center"/>
    </xf>
    <xf numFmtId="0" fontId="77" fillId="0" borderId="47" xfId="23" applyNumberFormat="1" applyFont="1" applyFill="1" applyBorder="1" applyAlignment="1" applyProtection="1">
      <alignment horizontal="right" vertical="center"/>
    </xf>
    <xf numFmtId="0" fontId="77" fillId="0" borderId="0" xfId="23" applyNumberFormat="1" applyFont="1" applyFill="1" applyBorder="1" applyAlignment="1" applyProtection="1">
      <alignment horizontal="right" vertical="center"/>
    </xf>
    <xf numFmtId="0" fontId="75" fillId="0" borderId="46" xfId="23" applyNumberFormat="1" applyFont="1" applyFill="1" applyBorder="1" applyAlignment="1" applyProtection="1"/>
    <xf numFmtId="0" fontId="78" fillId="0" borderId="0" xfId="23" applyNumberFormat="1" applyFont="1" applyFill="1" applyBorder="1" applyAlignment="1" applyProtection="1">
      <alignment horizontal="left" vertical="center"/>
    </xf>
    <xf numFmtId="4" fontId="78" fillId="0" borderId="0" xfId="23" applyNumberFormat="1" applyFont="1" applyFill="1" applyBorder="1" applyAlignment="1" applyProtection="1">
      <alignment horizontal="right" vertical="center"/>
    </xf>
    <xf numFmtId="0" fontId="75" fillId="0" borderId="47" xfId="23" applyNumberFormat="1" applyFont="1" applyFill="1" applyBorder="1" applyAlignment="1" applyProtection="1"/>
    <xf numFmtId="0" fontId="77" fillId="0" borderId="58" xfId="23" applyNumberFormat="1" applyFont="1" applyFill="1" applyBorder="1" applyAlignment="1" applyProtection="1">
      <alignment horizontal="left" vertical="center"/>
    </xf>
    <xf numFmtId="0" fontId="77" fillId="0" borderId="59" xfId="23" applyNumberFormat="1" applyFont="1" applyFill="1" applyBorder="1" applyAlignment="1" applyProtection="1">
      <alignment horizontal="left" vertical="center"/>
    </xf>
    <xf numFmtId="4" fontId="77" fillId="0" borderId="59" xfId="23" applyNumberFormat="1" applyFont="1" applyFill="1" applyBorder="1" applyAlignment="1" applyProtection="1">
      <alignment horizontal="right" vertical="center"/>
    </xf>
    <xf numFmtId="0" fontId="77" fillId="0" borderId="60" xfId="23" applyNumberFormat="1" applyFont="1" applyFill="1" applyBorder="1" applyAlignment="1" applyProtection="1">
      <alignment horizontal="right" vertical="center"/>
    </xf>
    <xf numFmtId="4" fontId="76" fillId="0" borderId="0" xfId="23" applyNumberFormat="1" applyFont="1" applyFill="1" applyBorder="1" applyAlignment="1" applyProtection="1">
      <alignment horizontal="right" vertical="center"/>
    </xf>
    <xf numFmtId="0" fontId="79" fillId="0" borderId="0" xfId="23" applyNumberFormat="1" applyFont="1" applyFill="1" applyBorder="1" applyAlignment="1" applyProtection="1">
      <alignment horizontal="left" vertical="center"/>
    </xf>
    <xf numFmtId="4" fontId="26" fillId="0" borderId="0" xfId="0" applyNumberFormat="1" applyFont="1" applyAlignment="1">
      <alignment vertical="center"/>
    </xf>
    <xf numFmtId="0" fontId="0" fillId="0" borderId="0" xfId="0"/>
    <xf numFmtId="167" fontId="24" fillId="0" borderId="0" xfId="0" applyNumberFormat="1" applyFont="1" applyAlignment="1">
      <alignment horizontal="right" vertical="center"/>
    </xf>
    <xf numFmtId="0" fontId="74" fillId="0" borderId="0" xfId="23" applyNumberFormat="1" applyFont="1" applyFill="1" applyBorder="1" applyAlignment="1" applyProtection="1">
      <alignment horizontal="center" vertical="center"/>
    </xf>
    <xf numFmtId="0" fontId="77" fillId="0" borderId="43" xfId="23" applyNumberFormat="1" applyFont="1" applyFill="1" applyBorder="1" applyAlignment="1" applyProtection="1">
      <alignment horizontal="left" vertical="center" wrapText="1"/>
    </xf>
    <xf numFmtId="0" fontId="77" fillId="0" borderId="44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/>
    </xf>
    <xf numFmtId="0" fontId="77" fillId="0" borderId="0" xfId="23" applyNumberFormat="1" applyFont="1" applyFill="1" applyBorder="1" applyAlignment="1" applyProtection="1">
      <alignment horizontal="left" vertical="center"/>
    </xf>
    <xf numFmtId="0" fontId="76" fillId="0" borderId="44" xfId="23" applyNumberFormat="1" applyFont="1" applyFill="1" applyBorder="1" applyAlignment="1" applyProtection="1">
      <alignment horizontal="left" vertical="center" wrapText="1"/>
    </xf>
    <xf numFmtId="0" fontId="76" fillId="0" borderId="0" xfId="23" applyNumberFormat="1" applyFont="1" applyFill="1" applyBorder="1" applyAlignment="1" applyProtection="1">
      <alignment horizontal="left" vertical="center"/>
    </xf>
    <xf numFmtId="0" fontId="77" fillId="0" borderId="44" xfId="23" applyNumberFormat="1" applyFont="1" applyFill="1" applyBorder="1" applyAlignment="1" applyProtection="1">
      <alignment horizontal="left" vertical="center" wrapText="1"/>
    </xf>
    <xf numFmtId="0" fontId="77" fillId="0" borderId="45" xfId="23" applyNumberFormat="1" applyFont="1" applyFill="1" applyBorder="1" applyAlignment="1" applyProtection="1">
      <alignment horizontal="left" vertical="center"/>
    </xf>
    <xf numFmtId="0" fontId="77" fillId="0" borderId="47" xfId="23" applyNumberFormat="1" applyFont="1" applyFill="1" applyBorder="1" applyAlignment="1" applyProtection="1">
      <alignment horizontal="left" vertical="center"/>
    </xf>
    <xf numFmtId="0" fontId="77" fillId="0" borderId="46" xfId="23" applyNumberFormat="1" applyFont="1" applyFill="1" applyBorder="1" applyAlignment="1" applyProtection="1">
      <alignment horizontal="left" vertical="center" wrapText="1"/>
    </xf>
    <xf numFmtId="0" fontId="77" fillId="0" borderId="0" xfId="23" applyNumberFormat="1" applyFont="1" applyFill="1" applyBorder="1" applyAlignment="1" applyProtection="1">
      <alignment horizontal="left" vertical="center" wrapText="1"/>
    </xf>
    <xf numFmtId="0" fontId="76" fillId="0" borderId="50" xfId="23" applyNumberFormat="1" applyFont="1" applyFill="1" applyBorder="1" applyAlignment="1" applyProtection="1">
      <alignment horizontal="left" vertical="center"/>
    </xf>
    <xf numFmtId="0" fontId="76" fillId="0" borderId="49" xfId="23" applyNumberFormat="1" applyFont="1" applyFill="1" applyBorder="1" applyAlignment="1" applyProtection="1">
      <alignment horizontal="left" vertical="center"/>
    </xf>
    <xf numFmtId="0" fontId="76" fillId="0" borderId="51" xfId="23" applyNumberFormat="1" applyFont="1" applyFill="1" applyBorder="1" applyAlignment="1" applyProtection="1">
      <alignment horizontal="center" vertical="center"/>
    </xf>
    <xf numFmtId="0" fontId="76" fillId="0" borderId="52" xfId="23" applyNumberFormat="1" applyFont="1" applyFill="1" applyBorder="1" applyAlignment="1" applyProtection="1">
      <alignment horizontal="center" vertical="center"/>
    </xf>
    <xf numFmtId="0" fontId="76" fillId="0" borderId="53" xfId="23" applyNumberFormat="1" applyFont="1" applyFill="1" applyBorder="1" applyAlignment="1" applyProtection="1">
      <alignment horizontal="center" vertical="center"/>
    </xf>
    <xf numFmtId="0" fontId="76" fillId="0" borderId="56" xfId="23" applyNumberFormat="1" applyFont="1" applyFill="1" applyBorder="1" applyAlignment="1" applyProtection="1">
      <alignment horizontal="left" vertical="center"/>
    </xf>
    <xf numFmtId="0" fontId="76" fillId="0" borderId="55" xfId="23" applyNumberFormat="1" applyFont="1" applyFill="1" applyBorder="1" applyAlignment="1" applyProtection="1">
      <alignment horizontal="left" vertical="center"/>
    </xf>
    <xf numFmtId="0" fontId="76" fillId="3" borderId="0" xfId="23" applyNumberFormat="1" applyFont="1" applyFill="1" applyBorder="1" applyAlignment="1" applyProtection="1">
      <alignment horizontal="left" vertical="center"/>
    </xf>
    <xf numFmtId="0" fontId="77" fillId="0" borderId="59" xfId="23" applyNumberFormat="1" applyFont="1" applyFill="1" applyBorder="1" applyAlignment="1" applyProtection="1">
      <alignment horizontal="left" vertical="center"/>
    </xf>
    <xf numFmtId="3" fontId="42" fillId="0" borderId="0" xfId="2" applyNumberFormat="1" applyFont="1" applyAlignment="1">
      <alignment horizontal="right" wrapText="1"/>
    </xf>
    <xf numFmtId="0" fontId="42" fillId="0" borderId="0" xfId="2" applyFont="1" applyAlignment="1">
      <alignment horizontal="left" wrapText="1"/>
    </xf>
    <xf numFmtId="0" fontId="53" fillId="0" borderId="0" xfId="2" applyFont="1" applyAlignment="1">
      <alignment horizontal="center" wrapText="1"/>
    </xf>
    <xf numFmtId="3" fontId="42" fillId="0" borderId="0" xfId="2" applyNumberFormat="1" applyFont="1" applyAlignment="1">
      <alignment horizontal="right"/>
    </xf>
    <xf numFmtId="3" fontId="9" fillId="0" borderId="0" xfId="3" applyNumberFormat="1" applyAlignment="1">
      <alignment horizontal="right" wrapText="1"/>
    </xf>
    <xf numFmtId="0" fontId="42" fillId="0" borderId="0" xfId="2" applyFont="1" applyAlignment="1">
      <alignment horizontal="left" vertical="top" wrapText="1"/>
    </xf>
    <xf numFmtId="0" fontId="21" fillId="0" borderId="0" xfId="2" applyFont="1" applyAlignment="1">
      <alignment horizontal="center" wrapText="1"/>
    </xf>
    <xf numFmtId="3" fontId="42" fillId="0" borderId="1" xfId="2" applyNumberFormat="1" applyFont="1" applyBorder="1" applyAlignment="1">
      <alignment horizontal="center" wrapText="1"/>
    </xf>
    <xf numFmtId="3" fontId="50" fillId="0" borderId="0" xfId="3" applyNumberFormat="1" applyFont="1" applyAlignment="1">
      <alignment horizontal="right" wrapText="1"/>
    </xf>
    <xf numFmtId="0" fontId="51" fillId="0" borderId="0" xfId="2" applyFont="1" applyAlignment="1">
      <alignment horizontal="center" wrapText="1"/>
    </xf>
    <xf numFmtId="0" fontId="49" fillId="0" borderId="0" xfId="2" applyFont="1" applyAlignment="1">
      <alignment horizontal="center" wrapText="1"/>
    </xf>
    <xf numFmtId="3" fontId="41" fillId="0" borderId="0" xfId="0" applyNumberFormat="1" applyFont="1" applyFill="1"/>
    <xf numFmtId="3" fontId="41" fillId="0" borderId="2" xfId="0" applyNumberFormat="1" applyFont="1" applyFill="1" applyBorder="1"/>
    <xf numFmtId="3" fontId="45" fillId="0" borderId="3" xfId="0" applyNumberFormat="1" applyFont="1" applyFill="1" applyBorder="1" applyAlignment="1">
      <alignment horizontal="right"/>
    </xf>
  </cellXfs>
  <cellStyles count="24">
    <cellStyle name="Čárka" xfId="7" builtinId="3"/>
    <cellStyle name="Excel Built-in Normal" xfId="3" xr:uid="{00000000-0005-0000-0000-000000000000}"/>
    <cellStyle name="fnRegressQ 2" xfId="15" xr:uid="{EBC9DFCC-641C-46EB-8F3F-157FD9545A76}"/>
    <cellStyle name="Hypertextový odkaz" xfId="1" builtinId="8"/>
    <cellStyle name="Hypertextový odkaz 2" xfId="8" xr:uid="{55E64250-6ABD-4395-850F-7F1A8314003A}"/>
    <cellStyle name="Normal 3 2" xfId="18" xr:uid="{C2BA0983-DDBC-49FE-B398-066DEF1F1F84}"/>
    <cellStyle name="Normal 3 2 2" xfId="21" xr:uid="{450A65DB-B7C7-4625-830A-F0CE81B75ACE}"/>
    <cellStyle name="Normální" xfId="0" builtinId="0" customBuiltin="1"/>
    <cellStyle name="normální 2" xfId="2" xr:uid="{00000000-0005-0000-0000-000003000000}"/>
    <cellStyle name="normální 2 3" xfId="11" xr:uid="{E4FEB785-90F3-4AF2-AB4A-E3F297F84216}"/>
    <cellStyle name="Normální 3" xfId="4" xr:uid="{00000000-0005-0000-0000-000004000000}"/>
    <cellStyle name="Normální 3 2" xfId="12" xr:uid="{771CB693-91FE-44EE-9B7A-FC1F92361CD0}"/>
    <cellStyle name="Normální 4" xfId="6" xr:uid="{00000000-0005-0000-0000-000005000000}"/>
    <cellStyle name="Normální 5" xfId="9" xr:uid="{6EB9770B-3307-4362-9DAF-48C2C5770B42}"/>
    <cellStyle name="Normální 6" xfId="5" xr:uid="{00000000-0005-0000-0000-000006000000}"/>
    <cellStyle name="Normální 7" xfId="22" xr:uid="{79F9BE55-0AFB-4495-A9BC-1F167CAB3776}"/>
    <cellStyle name="Normální 7 2" xfId="16" xr:uid="{179833EB-2C85-4D48-A7F3-6DFAF8BF8037}"/>
    <cellStyle name="Normální 7 2 2" xfId="20" xr:uid="{7040622B-901C-438D-9487-2AB36F13701D}"/>
    <cellStyle name="Normální 8" xfId="19" xr:uid="{7A143D9A-5BA6-4FDA-8602-23E60796EFB9}"/>
    <cellStyle name="Normální 9" xfId="23" xr:uid="{6870ADE8-ABA0-43CB-8D99-AF0589C92AA8}"/>
    <cellStyle name="normální_K_VZT1 2" xfId="17" xr:uid="{4F9970F1-A582-45CD-96F9-76CF05F713CD}"/>
    <cellStyle name="normální_Rozpočet investičních nákladů platí 16,+ specifikace" xfId="13" xr:uid="{5CEB626E-14C0-4CD0-AAA3-A7EE2C24F84B}"/>
    <cellStyle name="normální_SA_PC15_51_VV_00 2" xfId="14" xr:uid="{D3AA5584-0F76-4430-95C7-7321972AD3AC}"/>
    <cellStyle name="normální_Zadávací podklad pro profese" xfId="10" xr:uid="{EF9A5E6A-160A-48AD-98AF-DB4AFA3EB1FD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CD639F3A-E5D4-42CC-A632-11C42ED325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9675" cy="666750"/>
        </a:xfrm>
        <a:prstGeom prst="rect">
          <a:avLst/>
        </a:prstGeom>
        <a:noFill/>
        <a:ln w="9525">
          <a:prstDash val="solid"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400050</xdr:colOff>
      <xdr:row>0</xdr:row>
      <xdr:rowOff>666750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828A937-D195-4F38-B6C7-28F5D0297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66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AN59"/>
  <sheetViews>
    <sheetView topLeftCell="A18" zoomScale="112" zoomScaleNormal="112" workbookViewId="0">
      <selection activeCell="G21" sqref="G21"/>
    </sheetView>
  </sheetViews>
  <sheetFormatPr defaultColWidth="9.5" defaultRowHeight="12"/>
  <cols>
    <col min="1" max="1" width="10.6640625" style="9" customWidth="1"/>
    <col min="2" max="2" width="3" style="14" customWidth="1"/>
    <col min="3" max="3" width="10" style="14" customWidth="1"/>
    <col min="4" max="4" width="12" style="9" customWidth="1"/>
    <col min="5" max="5" width="52" style="9" customWidth="1"/>
    <col min="6" max="6" width="15.1640625" style="9" customWidth="1"/>
    <col min="7" max="7" width="22.1640625" style="9" bestFit="1" customWidth="1"/>
    <col min="8" max="8" width="19.1640625" style="9" customWidth="1"/>
    <col min="9" max="9" width="2.6640625" style="9" customWidth="1"/>
    <col min="10" max="10" width="9.5" style="9" customWidth="1"/>
    <col min="11" max="11" width="40" style="9" customWidth="1"/>
    <col min="12" max="12" width="16.83203125" style="9" bestFit="1" customWidth="1"/>
    <col min="13" max="16384" width="9.5" style="9"/>
  </cols>
  <sheetData>
    <row r="1" spans="2:40" s="4" customFormat="1" ht="17.100000000000001" customHeight="1">
      <c r="B1" s="43"/>
      <c r="C1"/>
      <c r="D1"/>
      <c r="E1"/>
      <c r="F1"/>
      <c r="G1"/>
      <c r="H1"/>
      <c r="I1" s="44"/>
      <c r="J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43"/>
      <c r="AJ1"/>
      <c r="AK1"/>
      <c r="AL1" s="44"/>
      <c r="AM1"/>
      <c r="AN1"/>
    </row>
    <row r="2" spans="2:40" s="4" customFormat="1" ht="17.100000000000001" customHeight="1">
      <c r="B2" s="56"/>
      <c r="C2" s="57"/>
      <c r="D2" s="57"/>
      <c r="E2" s="57"/>
      <c r="F2" s="57"/>
      <c r="G2" s="57"/>
      <c r="H2" s="57"/>
      <c r="I2" s="58"/>
      <c r="J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</row>
    <row r="3" spans="2:40" s="4" customFormat="1" ht="17.25" customHeight="1">
      <c r="B3" s="59"/>
      <c r="C3"/>
      <c r="D3"/>
      <c r="E3"/>
      <c r="F3"/>
      <c r="G3"/>
      <c r="H3"/>
      <c r="I3" s="60"/>
      <c r="J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43"/>
      <c r="AJ3"/>
      <c r="AK3"/>
      <c r="AL3" s="44"/>
      <c r="AM3"/>
      <c r="AN3"/>
    </row>
    <row r="4" spans="2:40" s="6" customFormat="1" ht="18" customHeight="1">
      <c r="B4" s="61"/>
      <c r="C4" s="44"/>
      <c r="D4"/>
      <c r="E4" s="55" t="s">
        <v>111</v>
      </c>
      <c r="G4"/>
      <c r="H4"/>
      <c r="I4" s="60"/>
      <c r="J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43"/>
      <c r="AJ4"/>
      <c r="AK4"/>
      <c r="AL4" s="44"/>
      <c r="AM4"/>
      <c r="AN4"/>
    </row>
    <row r="5" spans="2:40" ht="17.100000000000001" customHeight="1">
      <c r="B5" s="61"/>
      <c r="C5"/>
      <c r="D5"/>
      <c r="E5"/>
      <c r="F5"/>
      <c r="G5"/>
      <c r="H5"/>
      <c r="I5" s="60"/>
      <c r="J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</row>
    <row r="6" spans="2:40" s="4" customFormat="1" ht="14.25" customHeight="1">
      <c r="B6" s="59"/>
      <c r="C6"/>
      <c r="D6"/>
      <c r="E6"/>
      <c r="F6"/>
      <c r="G6"/>
      <c r="H6"/>
      <c r="I6" s="60"/>
      <c r="J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43"/>
      <c r="AJ6"/>
      <c r="AK6"/>
      <c r="AL6" s="44"/>
      <c r="AM6"/>
      <c r="AN6"/>
    </row>
    <row r="7" spans="2:40" ht="21" customHeight="1">
      <c r="B7" s="61"/>
      <c r="C7" s="43" t="s">
        <v>92</v>
      </c>
      <c r="D7"/>
      <c r="E7" s="46" t="s">
        <v>114</v>
      </c>
      <c r="F7" s="49"/>
      <c r="G7" s="49"/>
      <c r="H7" s="49"/>
      <c r="I7" s="70"/>
      <c r="J7" s="49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 s="43"/>
      <c r="AJ7"/>
      <c r="AK7"/>
      <c r="AL7" s="44"/>
      <c r="AM7"/>
      <c r="AN7"/>
    </row>
    <row r="8" spans="2:40" ht="17.100000000000001" customHeight="1">
      <c r="B8" s="61"/>
      <c r="C8" s="43"/>
      <c r="D8"/>
      <c r="E8" s="46"/>
      <c r="F8" s="45"/>
      <c r="G8" s="45"/>
      <c r="H8" s="45"/>
      <c r="I8" s="64"/>
      <c r="J8"/>
      <c r="L8" s="49"/>
      <c r="M8" s="49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</row>
    <row r="9" spans="2:40" ht="17.100000000000001" customHeight="1">
      <c r="B9" s="59"/>
      <c r="C9"/>
      <c r="D9"/>
      <c r="E9"/>
      <c r="F9"/>
      <c r="G9"/>
      <c r="H9"/>
      <c r="I9" s="60"/>
      <c r="J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 s="43"/>
      <c r="AJ9"/>
      <c r="AK9"/>
      <c r="AL9" s="44"/>
      <c r="AM9"/>
      <c r="AN9"/>
    </row>
    <row r="10" spans="2:40" ht="17.100000000000001" customHeight="1">
      <c r="B10" s="61"/>
      <c r="C10" s="43" t="s">
        <v>93</v>
      </c>
      <c r="D10"/>
      <c r="E10"/>
      <c r="F10"/>
      <c r="G10"/>
      <c r="H10"/>
      <c r="I10" s="60"/>
      <c r="J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 s="43"/>
      <c r="AJ10"/>
      <c r="AK10"/>
      <c r="AL10" s="44"/>
      <c r="AM10"/>
      <c r="AN10"/>
    </row>
    <row r="11" spans="2:40" ht="17.100000000000001" customHeight="1">
      <c r="B11" s="61"/>
      <c r="C11"/>
      <c r="D11"/>
      <c r="E11"/>
      <c r="F11"/>
      <c r="G11" s="81"/>
      <c r="H11"/>
      <c r="I11" s="60"/>
      <c r="J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</row>
    <row r="12" spans="2:40" ht="17.100000000000001" customHeight="1">
      <c r="B12" s="59"/>
      <c r="C12" s="43" t="s">
        <v>94</v>
      </c>
      <c r="D12"/>
      <c r="E12" s="50" t="s">
        <v>121</v>
      </c>
      <c r="F12" s="54" t="s">
        <v>95</v>
      </c>
      <c r="G12" s="78">
        <v>68975490</v>
      </c>
      <c r="I12" s="60"/>
      <c r="J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 s="43"/>
      <c r="AJ12"/>
      <c r="AK12"/>
      <c r="AL12" s="44"/>
      <c r="AM12"/>
      <c r="AN12"/>
    </row>
    <row r="13" spans="2:40" ht="17.100000000000001" customHeight="1">
      <c r="B13" s="61"/>
      <c r="C13" s="44"/>
      <c r="D13"/>
      <c r="E13" s="50" t="s">
        <v>116</v>
      </c>
      <c r="F13" s="54" t="s">
        <v>96</v>
      </c>
      <c r="G13" s="82"/>
      <c r="H13"/>
      <c r="I13" s="60"/>
      <c r="J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 s="43"/>
      <c r="AJ13"/>
      <c r="AK13"/>
      <c r="AL13" s="44"/>
      <c r="AM13"/>
      <c r="AN13"/>
    </row>
    <row r="14" spans="2:40" ht="17.100000000000001" customHeight="1">
      <c r="B14" s="61"/>
      <c r="C14" s="44"/>
      <c r="D14"/>
      <c r="E14" s="50"/>
      <c r="F14" s="54"/>
      <c r="G14"/>
      <c r="H14"/>
      <c r="I14" s="60"/>
      <c r="J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 s="43"/>
      <c r="AJ14"/>
      <c r="AK14"/>
      <c r="AL14" s="44"/>
      <c r="AM14"/>
      <c r="AN14"/>
    </row>
    <row r="15" spans="2:40" ht="17.100000000000001" customHeight="1">
      <c r="B15" s="61"/>
      <c r="C15" s="43" t="s">
        <v>97</v>
      </c>
      <c r="D15"/>
      <c r="E15" s="50" t="s">
        <v>1355</v>
      </c>
      <c r="F15" s="54" t="s">
        <v>95</v>
      </c>
      <c r="G15" s="80">
        <v>14869446</v>
      </c>
      <c r="H15"/>
      <c r="I15" s="60"/>
      <c r="J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</row>
    <row r="16" spans="2:40" ht="17.100000000000001" customHeight="1">
      <c r="B16" s="61"/>
      <c r="C16" s="43"/>
      <c r="D16"/>
      <c r="E16" s="50" t="s">
        <v>122</v>
      </c>
      <c r="F16" s="54" t="s">
        <v>96</v>
      </c>
      <c r="G16" s="80" t="s">
        <v>120</v>
      </c>
      <c r="H16" s="79"/>
      <c r="I16" s="60"/>
      <c r="J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</row>
    <row r="17" spans="2:40" ht="17.100000000000001" customHeight="1">
      <c r="B17" s="59"/>
      <c r="C17"/>
      <c r="D17"/>
      <c r="E17" s="50"/>
      <c r="G17" s="81"/>
      <c r="H17"/>
      <c r="I17" s="60"/>
      <c r="J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</row>
    <row r="18" spans="2:40" s="13" customFormat="1" ht="17.100000000000001" customHeight="1">
      <c r="B18" s="61"/>
      <c r="C18" s="43" t="s">
        <v>98</v>
      </c>
      <c r="D18" s="52"/>
      <c r="E18" s="50"/>
      <c r="F18" s="49"/>
      <c r="G18" s="52"/>
      <c r="H18" s="52"/>
      <c r="I18" s="62"/>
      <c r="J18" s="52"/>
      <c r="L18"/>
      <c r="M18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/>
      <c r="AN18"/>
    </row>
    <row r="19" spans="2:40" s="13" customFormat="1" ht="17.100000000000001" customHeight="1">
      <c r="B19" s="61"/>
      <c r="C19" s="43"/>
      <c r="D19" s="52"/>
      <c r="E19" s="52"/>
      <c r="F19" s="54"/>
      <c r="G19" s="52"/>
      <c r="H19" s="52"/>
      <c r="I19" s="62"/>
      <c r="J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/>
      <c r="AN19"/>
    </row>
    <row r="20" spans="2:40" s="13" customFormat="1" ht="17.100000000000001" customHeight="1">
      <c r="B20" s="61"/>
      <c r="C20"/>
      <c r="D20"/>
      <c r="E20"/>
      <c r="G20"/>
      <c r="H20"/>
      <c r="I20" s="60"/>
      <c r="J20"/>
      <c r="L20" s="52"/>
      <c r="M20" s="52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</row>
    <row r="21" spans="2:40" s="13" customFormat="1" ht="28.5" customHeight="1">
      <c r="B21" s="61"/>
      <c r="C21" s="43" t="s">
        <v>112</v>
      </c>
      <c r="D21"/>
      <c r="E21" s="46" t="s">
        <v>604</v>
      </c>
      <c r="F21" s="54"/>
      <c r="G21" s="312">
        <f>+'SO 01'!K292</f>
        <v>0</v>
      </c>
      <c r="H21" s="392"/>
      <c r="I21" s="60"/>
      <c r="J21"/>
      <c r="L21" s="52"/>
      <c r="M21" s="52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</row>
    <row r="22" spans="2:40" s="13" customFormat="1" ht="28.5" customHeight="1">
      <c r="B22" s="61"/>
      <c r="C22"/>
      <c r="D22"/>
      <c r="E22" s="46" t="s">
        <v>603</v>
      </c>
      <c r="F22" s="54"/>
      <c r="G22" s="312">
        <f>+'SO 02'!K363</f>
        <v>0</v>
      </c>
      <c r="H22" s="392"/>
      <c r="I22" s="60"/>
      <c r="J22"/>
      <c r="L22" s="52"/>
      <c r="M22" s="5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</row>
    <row r="23" spans="2:40" s="13" customFormat="1" ht="28.5" customHeight="1">
      <c r="B23" s="61"/>
      <c r="C23"/>
      <c r="D23"/>
      <c r="E23"/>
      <c r="G23"/>
      <c r="H23"/>
      <c r="I23" s="60"/>
      <c r="J23"/>
      <c r="L23" s="52"/>
      <c r="M23" s="52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</row>
    <row r="24" spans="2:40" s="13" customFormat="1" ht="28.5" customHeight="1">
      <c r="B24" s="61"/>
      <c r="D24"/>
      <c r="E24" s="46" t="s">
        <v>295</v>
      </c>
      <c r="F24" s="54"/>
      <c r="G24" s="312">
        <f>+'PS 01'!F95</f>
        <v>0</v>
      </c>
      <c r="H24"/>
      <c r="I24" s="60"/>
      <c r="J24"/>
      <c r="K24" s="83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</row>
    <row r="25" spans="2:40" s="13" customFormat="1" ht="28.5" customHeight="1">
      <c r="B25" s="61"/>
      <c r="C25" s="43"/>
      <c r="D25"/>
      <c r="E25" s="46" t="s">
        <v>54</v>
      </c>
      <c r="F25" s="54"/>
      <c r="G25" s="312">
        <f>+'PS 01-2'!F83</f>
        <v>0</v>
      </c>
      <c r="H25" s="397"/>
      <c r="I25" s="60"/>
      <c r="J25"/>
      <c r="K25" s="8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</row>
    <row r="26" spans="2:40" s="13" customFormat="1" ht="28.5" customHeight="1">
      <c r="B26" s="61"/>
      <c r="C26" s="43"/>
      <c r="D26"/>
      <c r="E26" s="46" t="s">
        <v>490</v>
      </c>
      <c r="F26" s="54"/>
      <c r="G26" s="312">
        <f>+'PS 02'!H110</f>
        <v>0</v>
      </c>
      <c r="H26" s="398"/>
      <c r="I26" s="60"/>
      <c r="J26"/>
      <c r="K26" s="83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</row>
    <row r="27" spans="2:40" ht="28.5" customHeight="1">
      <c r="B27" s="63"/>
      <c r="C27"/>
      <c r="D27"/>
      <c r="E27" s="46" t="s">
        <v>489</v>
      </c>
      <c r="F27" s="54"/>
      <c r="G27" s="312">
        <f>+'PS 02-2'!H116</f>
        <v>0</v>
      </c>
      <c r="H27" s="397"/>
      <c r="I27" s="60"/>
      <c r="J27"/>
      <c r="K27" s="83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 s="433"/>
      <c r="AJ27" s="434"/>
      <c r="AK27" s="434"/>
      <c r="AL27" s="434"/>
      <c r="AM27" s="434"/>
      <c r="AN27"/>
    </row>
    <row r="28" spans="2:40" ht="17.100000000000001" customHeight="1">
      <c r="B28" s="61"/>
      <c r="C28"/>
      <c r="D28"/>
      <c r="E28"/>
      <c r="F28"/>
      <c r="G28"/>
      <c r="H28"/>
      <c r="I28" s="60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</row>
    <row r="29" spans="2:40" ht="17.100000000000001" customHeight="1">
      <c r="B29" s="61"/>
      <c r="C29" s="53" t="s">
        <v>100</v>
      </c>
      <c r="D29"/>
      <c r="E29"/>
      <c r="F29" s="435">
        <f>SUM(G21:G27)</f>
        <v>0</v>
      </c>
      <c r="G29" s="435"/>
      <c r="H29" s="75"/>
      <c r="I29" s="60"/>
      <c r="J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</row>
    <row r="30" spans="2:40" ht="17.100000000000001" customHeight="1">
      <c r="B30" s="61"/>
      <c r="C30"/>
      <c r="D30"/>
      <c r="E30"/>
      <c r="F30"/>
      <c r="G30"/>
      <c r="H30"/>
      <c r="I30" s="60"/>
      <c r="J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</row>
    <row r="31" spans="2:40" ht="17.100000000000001" customHeight="1">
      <c r="B31" s="61"/>
      <c r="C31" s="54" t="s">
        <v>101</v>
      </c>
      <c r="D31" s="54" t="s">
        <v>102</v>
      </c>
      <c r="E31"/>
      <c r="F31" s="77">
        <v>0.21</v>
      </c>
      <c r="G31" s="84">
        <f>F29*F31</f>
        <v>0</v>
      </c>
      <c r="H31" s="84"/>
      <c r="I31" s="60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</row>
    <row r="32" spans="2:40" ht="17.100000000000001" customHeight="1">
      <c r="B32" s="61"/>
      <c r="C32" s="49"/>
      <c r="D32" s="54" t="s">
        <v>103</v>
      </c>
      <c r="E32"/>
      <c r="F32" s="77">
        <v>0.15</v>
      </c>
      <c r="G32" s="51"/>
      <c r="H32"/>
      <c r="I32" s="60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</row>
    <row r="33" spans="2:40" ht="17.100000000000001" customHeight="1">
      <c r="B33" s="61"/>
      <c r="C33" s="45"/>
      <c r="D33" s="54" t="s">
        <v>104</v>
      </c>
      <c r="E33"/>
      <c r="F33" s="77">
        <v>0.21</v>
      </c>
      <c r="G33" s="51"/>
      <c r="H33"/>
      <c r="I33" s="60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</row>
    <row r="34" spans="2:40" ht="17.100000000000001" customHeight="1">
      <c r="B34" s="61"/>
      <c r="C34" s="45"/>
      <c r="D34" s="54" t="s">
        <v>105</v>
      </c>
      <c r="E34"/>
      <c r="F34" s="77">
        <v>0.15</v>
      </c>
      <c r="G34" s="51"/>
      <c r="H34"/>
      <c r="I34" s="6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</row>
    <row r="35" spans="2:40" ht="17.100000000000001" customHeight="1">
      <c r="B35" s="61"/>
      <c r="C35" s="45"/>
      <c r="D35" s="54" t="s">
        <v>106</v>
      </c>
      <c r="E35"/>
      <c r="F35" s="77">
        <v>0</v>
      </c>
      <c r="G35" s="51"/>
      <c r="H35"/>
      <c r="I35" s="6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</row>
    <row r="36" spans="2:40" ht="17.100000000000001" customHeight="1">
      <c r="B36" s="65"/>
      <c r="C36" s="45"/>
      <c r="D36" s="45"/>
      <c r="E36" s="45"/>
      <c r="F36" s="45"/>
      <c r="G36" s="45"/>
      <c r="H36" s="45"/>
      <c r="I36" s="64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7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</row>
    <row r="37" spans="2:40" ht="17.100000000000001" customHeight="1">
      <c r="B37" s="61"/>
      <c r="C37" s="76" t="s">
        <v>107</v>
      </c>
      <c r="D37"/>
      <c r="E37"/>
      <c r="F37" s="84"/>
      <c r="G37" s="84">
        <f>F29+G31</f>
        <v>0</v>
      </c>
      <c r="H37"/>
      <c r="I37" s="60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</row>
    <row r="38" spans="2:40" ht="17.100000000000001" customHeight="1">
      <c r="B38" s="66"/>
      <c r="C38" s="67"/>
      <c r="D38" s="67"/>
      <c r="E38" s="67"/>
      <c r="F38" s="67"/>
      <c r="G38" s="67"/>
      <c r="H38" s="67"/>
      <c r="I38" s="6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</row>
    <row r="39" spans="2:40" ht="17.100000000000001" customHeight="1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</row>
    <row r="40" spans="2:40" ht="17.100000000000001" customHeight="1">
      <c r="B40" s="56"/>
      <c r="C40" s="57"/>
      <c r="D40" s="57"/>
      <c r="E40" s="71"/>
      <c r="F40" s="57"/>
      <c r="G40" s="57"/>
      <c r="H40" s="57"/>
      <c r="I40" s="58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</row>
    <row r="41" spans="2:40" ht="17.100000000000001" customHeight="1">
      <c r="B41" s="61"/>
      <c r="C41" s="47" t="s">
        <v>108</v>
      </c>
      <c r="D41" s="45"/>
      <c r="E41" s="73" t="s">
        <v>110</v>
      </c>
      <c r="H41"/>
      <c r="I41" s="60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</row>
    <row r="42" spans="2:40" ht="17.100000000000001" customHeight="1">
      <c r="B42" s="61"/>
      <c r="C42"/>
      <c r="D42"/>
      <c r="E42"/>
      <c r="F42"/>
      <c r="G42"/>
      <c r="H42"/>
      <c r="I42" s="60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</row>
    <row r="43" spans="2:40" ht="17.100000000000001" customHeight="1">
      <c r="B43" s="61"/>
      <c r="C43"/>
      <c r="D43" s="69" t="s">
        <v>1356</v>
      </c>
      <c r="E43"/>
      <c r="F43" s="69" t="s">
        <v>118</v>
      </c>
      <c r="G43"/>
      <c r="H43"/>
      <c r="I43" s="6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</row>
    <row r="44" spans="2:40" ht="17.100000000000001" customHeight="1">
      <c r="B44" s="61"/>
      <c r="C44"/>
      <c r="D44" s="69" t="s">
        <v>117</v>
      </c>
      <c r="E44"/>
      <c r="F44" s="69" t="s">
        <v>115</v>
      </c>
      <c r="G44"/>
      <c r="H44"/>
      <c r="I44" s="60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</row>
    <row r="45" spans="2:40" ht="17.100000000000001" customHeight="1">
      <c r="B45" s="72"/>
      <c r="C45"/>
      <c r="D45" s="69" t="s">
        <v>1357</v>
      </c>
      <c r="E45"/>
      <c r="F45" s="69" t="s">
        <v>119</v>
      </c>
      <c r="G45"/>
      <c r="H45" s="45"/>
      <c r="I45" s="64"/>
      <c r="J45" s="45"/>
      <c r="K45" s="45"/>
      <c r="L45" s="45"/>
      <c r="M45" s="45"/>
      <c r="N45" s="45"/>
      <c r="O45" s="45"/>
      <c r="P45" s="48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8"/>
      <c r="AB45" s="45"/>
      <c r="AC45" s="45"/>
      <c r="AD45" s="45"/>
      <c r="AE45" s="45"/>
      <c r="AF45" s="45"/>
      <c r="AG45" s="45"/>
      <c r="AH45" s="45"/>
      <c r="AI45" s="45"/>
      <c r="AJ45" s="45"/>
      <c r="AK45" s="48"/>
      <c r="AL45" s="45"/>
      <c r="AM45" s="45"/>
      <c r="AN45" s="45"/>
    </row>
    <row r="46" spans="2:40" ht="17.100000000000001" customHeight="1">
      <c r="B46" s="61"/>
      <c r="C46"/>
      <c r="H46"/>
      <c r="I46" s="6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</row>
    <row r="47" spans="2:40" ht="17.100000000000001" customHeight="1">
      <c r="B47" s="65"/>
      <c r="C47"/>
      <c r="D47" s="69"/>
      <c r="E47"/>
      <c r="F47"/>
      <c r="G47"/>
      <c r="H47" s="45"/>
      <c r="I47" s="64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7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</row>
    <row r="48" spans="2:40" ht="17.100000000000001" customHeight="1">
      <c r="B48" s="61"/>
      <c r="C48"/>
      <c r="D48"/>
      <c r="E48"/>
      <c r="F48"/>
      <c r="G48"/>
      <c r="H48"/>
      <c r="I48" s="6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</row>
    <row r="49" spans="2:40" ht="17.100000000000001" customHeight="1">
      <c r="B49" s="61"/>
      <c r="C49"/>
      <c r="D49"/>
      <c r="E49"/>
      <c r="F49"/>
      <c r="G49"/>
      <c r="H49"/>
      <c r="I49" s="6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</row>
    <row r="50" spans="2:40" ht="17.100000000000001" customHeight="1">
      <c r="B50" s="61"/>
      <c r="C50" s="48" t="s">
        <v>109</v>
      </c>
      <c r="D50" s="45"/>
      <c r="E50" s="48"/>
      <c r="F50" s="48" t="s">
        <v>109</v>
      </c>
      <c r="H50" s="48"/>
      <c r="I50" s="6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</row>
    <row r="51" spans="2:40" ht="17.100000000000001" customHeight="1">
      <c r="B51" s="61"/>
      <c r="C51"/>
      <c r="D51"/>
      <c r="E51"/>
      <c r="F51"/>
      <c r="G51"/>
      <c r="H51"/>
      <c r="I51" s="6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</row>
    <row r="52" spans="2:40" ht="17.100000000000001" customHeight="1">
      <c r="B52" s="66"/>
      <c r="C52" s="74"/>
      <c r="D52" s="67"/>
      <c r="E52" s="67"/>
      <c r="F52" s="67"/>
      <c r="G52" s="67"/>
      <c r="H52" s="67"/>
      <c r="I52" s="68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</row>
    <row r="53" spans="2:40" ht="17.100000000000001" customHeight="1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</row>
    <row r="54" spans="2:40" ht="17.100000000000001" customHeight="1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</row>
    <row r="55" spans="2:40" ht="17.100000000000001" customHeight="1">
      <c r="B55"/>
      <c r="C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</row>
    <row r="59" spans="2:40">
      <c r="B59" s="9"/>
      <c r="C59" s="9"/>
    </row>
  </sheetData>
  <mergeCells count="2">
    <mergeCell ref="AI27:AM27"/>
    <mergeCell ref="F29:G29"/>
  </mergeCells>
  <pageMargins left="0.70866141732283472" right="0.51181102362204722" top="0.78740157480314965" bottom="0.78740157480314965" header="0.31496062992125984" footer="0.31496062992125984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844F-3D3E-428A-8797-7726AF5833EB}">
  <sheetPr>
    <pageSetUpPr autoPageBreaks="0" fitToPage="1"/>
  </sheetPr>
  <dimension ref="A1:BL294"/>
  <sheetViews>
    <sheetView showOutlineSymbols="0" workbookViewId="0">
      <pane ySplit="11" topLeftCell="A263" activePane="bottomLeft" state="frozenSplit"/>
      <selection activeCell="A294" sqref="A294:N294"/>
      <selection pane="bottomLeft" activeCell="K292" sqref="K292"/>
    </sheetView>
  </sheetViews>
  <sheetFormatPr defaultColWidth="14.1640625" defaultRowHeight="15" customHeight="1"/>
  <cols>
    <col min="1" max="16384" width="14.1640625" style="399"/>
  </cols>
  <sheetData>
    <row r="1" spans="1:64" ht="54.75" customHeight="1">
      <c r="A1" s="436" t="s">
        <v>605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AS1" s="400">
        <f>SUM(AJ1:AJ2)</f>
        <v>0</v>
      </c>
      <c r="AT1" s="400">
        <f>SUM(AK1:AK2)</f>
        <v>0</v>
      </c>
      <c r="AU1" s="400">
        <f>SUM(AL1:AL2)</f>
        <v>0</v>
      </c>
    </row>
    <row r="2" spans="1:64" ht="15" customHeight="1">
      <c r="A2" s="437" t="s">
        <v>299</v>
      </c>
      <c r="B2" s="438"/>
      <c r="C2" s="438"/>
      <c r="D2" s="441" t="s">
        <v>606</v>
      </c>
      <c r="E2" s="438" t="s">
        <v>607</v>
      </c>
      <c r="F2" s="438" t="s">
        <v>608</v>
      </c>
      <c r="G2" s="438"/>
      <c r="H2" s="443" t="s">
        <v>94</v>
      </c>
      <c r="I2" s="443" t="s">
        <v>609</v>
      </c>
      <c r="J2" s="438"/>
      <c r="K2" s="438"/>
      <c r="L2" s="438"/>
      <c r="M2" s="438"/>
      <c r="N2" s="444"/>
    </row>
    <row r="3" spans="1:64" ht="15" customHeight="1">
      <c r="A3" s="439"/>
      <c r="B3" s="440"/>
      <c r="C3" s="440"/>
      <c r="D3" s="442"/>
      <c r="E3" s="440"/>
      <c r="F3" s="440"/>
      <c r="G3" s="440"/>
      <c r="H3" s="440"/>
      <c r="I3" s="440"/>
      <c r="J3" s="440"/>
      <c r="K3" s="440"/>
      <c r="L3" s="440"/>
      <c r="M3" s="440"/>
      <c r="N3" s="445"/>
    </row>
    <row r="4" spans="1:64" ht="15" customHeight="1">
      <c r="A4" s="446" t="s">
        <v>610</v>
      </c>
      <c r="B4" s="440"/>
      <c r="C4" s="440"/>
      <c r="D4" s="447" t="s">
        <v>604</v>
      </c>
      <c r="E4" s="440" t="s">
        <v>611</v>
      </c>
      <c r="F4" s="440" t="s">
        <v>612</v>
      </c>
      <c r="G4" s="440"/>
      <c r="H4" s="447" t="s">
        <v>98</v>
      </c>
      <c r="I4" s="447" t="s">
        <v>613</v>
      </c>
      <c r="J4" s="440"/>
      <c r="K4" s="440"/>
      <c r="L4" s="440"/>
      <c r="M4" s="440"/>
      <c r="N4" s="445"/>
    </row>
    <row r="5" spans="1:64" ht="15" customHeight="1">
      <c r="A5" s="439"/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5"/>
    </row>
    <row r="6" spans="1:64" ht="15" customHeight="1">
      <c r="A6" s="446" t="s">
        <v>614</v>
      </c>
      <c r="B6" s="440"/>
      <c r="C6" s="440"/>
      <c r="D6" s="447" t="s">
        <v>615</v>
      </c>
      <c r="E6" s="440" t="s">
        <v>616</v>
      </c>
      <c r="F6" s="440" t="s">
        <v>608</v>
      </c>
      <c r="G6" s="440"/>
      <c r="H6" s="447" t="s">
        <v>97</v>
      </c>
      <c r="I6" s="440" t="s">
        <v>617</v>
      </c>
      <c r="J6" s="440"/>
      <c r="K6" s="440"/>
      <c r="L6" s="440"/>
      <c r="M6" s="440"/>
      <c r="N6" s="445"/>
    </row>
    <row r="7" spans="1:64" ht="15" customHeight="1">
      <c r="A7" s="439"/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5"/>
    </row>
    <row r="8" spans="1:64" ht="15" customHeight="1">
      <c r="A8" s="446" t="s">
        <v>618</v>
      </c>
      <c r="B8" s="440"/>
      <c r="C8" s="440"/>
      <c r="D8" s="447" t="s">
        <v>608</v>
      </c>
      <c r="E8" s="440" t="s">
        <v>619</v>
      </c>
      <c r="F8" s="440" t="s">
        <v>620</v>
      </c>
      <c r="G8" s="440"/>
      <c r="H8" s="447" t="s">
        <v>621</v>
      </c>
      <c r="I8" s="447" t="s">
        <v>622</v>
      </c>
      <c r="J8" s="440"/>
      <c r="K8" s="440"/>
      <c r="L8" s="440"/>
      <c r="M8" s="440"/>
      <c r="N8" s="445"/>
    </row>
    <row r="9" spans="1:64" ht="15" customHeight="1" thickBot="1">
      <c r="A9" s="439"/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5"/>
    </row>
    <row r="10" spans="1:64" ht="15" customHeight="1">
      <c r="A10" s="403" t="s">
        <v>623</v>
      </c>
      <c r="B10" s="404" t="s">
        <v>624</v>
      </c>
      <c r="C10" s="404" t="s">
        <v>625</v>
      </c>
      <c r="D10" s="448" t="s">
        <v>626</v>
      </c>
      <c r="E10" s="449"/>
      <c r="F10" s="404" t="s">
        <v>627</v>
      </c>
      <c r="G10" s="405" t="s">
        <v>628</v>
      </c>
      <c r="H10" s="406" t="s">
        <v>629</v>
      </c>
      <c r="I10" s="450" t="s">
        <v>630</v>
      </c>
      <c r="J10" s="451"/>
      <c r="K10" s="452"/>
      <c r="L10" s="451" t="s">
        <v>631</v>
      </c>
      <c r="M10" s="451"/>
      <c r="N10" s="407" t="s">
        <v>632</v>
      </c>
      <c r="BK10" s="408" t="s">
        <v>633</v>
      </c>
      <c r="BL10" s="409" t="s">
        <v>634</v>
      </c>
    </row>
    <row r="11" spans="1:64" ht="15" customHeight="1" thickBot="1">
      <c r="A11" s="410" t="s">
        <v>608</v>
      </c>
      <c r="B11" s="411" t="s">
        <v>608</v>
      </c>
      <c r="C11" s="411" t="s">
        <v>608</v>
      </c>
      <c r="D11" s="453" t="s">
        <v>635</v>
      </c>
      <c r="E11" s="454"/>
      <c r="F11" s="411" t="s">
        <v>608</v>
      </c>
      <c r="G11" s="411" t="s">
        <v>608</v>
      </c>
      <c r="H11" s="412" t="s">
        <v>636</v>
      </c>
      <c r="I11" s="413" t="s">
        <v>637</v>
      </c>
      <c r="J11" s="414" t="s">
        <v>638</v>
      </c>
      <c r="K11" s="415" t="s">
        <v>639</v>
      </c>
      <c r="L11" s="414" t="s">
        <v>640</v>
      </c>
      <c r="M11" s="412" t="s">
        <v>639</v>
      </c>
      <c r="N11" s="413" t="s">
        <v>641</v>
      </c>
      <c r="Z11" s="408" t="s">
        <v>642</v>
      </c>
      <c r="AA11" s="408" t="s">
        <v>643</v>
      </c>
      <c r="AB11" s="408" t="s">
        <v>644</v>
      </c>
      <c r="AC11" s="408" t="s">
        <v>645</v>
      </c>
      <c r="AD11" s="408" t="s">
        <v>646</v>
      </c>
      <c r="AE11" s="408" t="s">
        <v>647</v>
      </c>
      <c r="AF11" s="408" t="s">
        <v>648</v>
      </c>
      <c r="AG11" s="408" t="s">
        <v>649</v>
      </c>
      <c r="AH11" s="408" t="s">
        <v>650</v>
      </c>
      <c r="BH11" s="408" t="s">
        <v>651</v>
      </c>
      <c r="BI11" s="408" t="s">
        <v>652</v>
      </c>
      <c r="BJ11" s="408" t="s">
        <v>653</v>
      </c>
    </row>
    <row r="12" spans="1:64" ht="15" customHeight="1">
      <c r="A12" s="416" t="s">
        <v>654</v>
      </c>
      <c r="B12" s="417" t="s">
        <v>654</v>
      </c>
      <c r="C12" s="417" t="s">
        <v>655</v>
      </c>
      <c r="D12" s="455" t="s">
        <v>656</v>
      </c>
      <c r="E12" s="455"/>
      <c r="F12" s="418" t="s">
        <v>608</v>
      </c>
      <c r="G12" s="418" t="s">
        <v>608</v>
      </c>
      <c r="H12" s="418" t="s">
        <v>608</v>
      </c>
      <c r="I12" s="400">
        <f>SUM(I13:I15)</f>
        <v>0</v>
      </c>
      <c r="J12" s="400">
        <f>SUM(J13:J15)</f>
        <v>0</v>
      </c>
      <c r="K12" s="400">
        <f>SUM(K13:K15)</f>
        <v>0</v>
      </c>
      <c r="L12" s="408" t="s">
        <v>654</v>
      </c>
      <c r="M12" s="400">
        <f>SUM(M13:M15)</f>
        <v>0</v>
      </c>
      <c r="N12" s="419" t="s">
        <v>654</v>
      </c>
      <c r="AI12" s="408" t="s">
        <v>654</v>
      </c>
      <c r="AS12" s="400">
        <f>SUM(AJ13:AJ15)</f>
        <v>0</v>
      </c>
      <c r="AT12" s="400">
        <f>SUM(AK13:AK15)</f>
        <v>0</v>
      </c>
      <c r="AU12" s="400">
        <f>SUM(AL13:AL15)</f>
        <v>0</v>
      </c>
    </row>
    <row r="13" spans="1:64" ht="15" customHeight="1">
      <c r="A13" s="401" t="s">
        <v>657</v>
      </c>
      <c r="B13" s="402" t="s">
        <v>654</v>
      </c>
      <c r="C13" s="402" t="s">
        <v>658</v>
      </c>
      <c r="D13" s="440" t="s">
        <v>659</v>
      </c>
      <c r="E13" s="440"/>
      <c r="F13" s="402" t="s">
        <v>660</v>
      </c>
      <c r="G13" s="420">
        <v>1</v>
      </c>
      <c r="H13" s="420"/>
      <c r="I13" s="420">
        <f>G13*AO13</f>
        <v>0</v>
      </c>
      <c r="J13" s="420">
        <f>G13*AP13</f>
        <v>0</v>
      </c>
      <c r="K13" s="420">
        <f>G13*H13</f>
        <v>0</v>
      </c>
      <c r="L13" s="420">
        <v>0</v>
      </c>
      <c r="M13" s="420">
        <f>G13*L13</f>
        <v>0</v>
      </c>
      <c r="N13" s="421" t="s">
        <v>654</v>
      </c>
      <c r="Z13" s="420">
        <f>IF(AQ13="5",BJ13,0)</f>
        <v>0</v>
      </c>
      <c r="AB13" s="420">
        <f>IF(AQ13="1",BH13,0)</f>
        <v>0</v>
      </c>
      <c r="AC13" s="420">
        <f>IF(AQ13="1",BI13,0)</f>
        <v>0</v>
      </c>
      <c r="AD13" s="420">
        <f>IF(AQ13="7",BH13,0)</f>
        <v>0</v>
      </c>
      <c r="AE13" s="420">
        <f>IF(AQ13="7",BI13,0)</f>
        <v>0</v>
      </c>
      <c r="AF13" s="420">
        <f>IF(AQ13="2",BH13,0)</f>
        <v>0</v>
      </c>
      <c r="AG13" s="420">
        <f>IF(AQ13="2",BI13,0)</f>
        <v>0</v>
      </c>
      <c r="AH13" s="420">
        <f>IF(AQ13="0",BJ13,0)</f>
        <v>0</v>
      </c>
      <c r="AI13" s="408" t="s">
        <v>654</v>
      </c>
      <c r="AJ13" s="420">
        <f>IF(AN13=0,K13,0)</f>
        <v>0</v>
      </c>
      <c r="AK13" s="420">
        <f>IF(AN13=15,K13,0)</f>
        <v>0</v>
      </c>
      <c r="AL13" s="420">
        <f>IF(AN13=21,K13,0)</f>
        <v>0</v>
      </c>
      <c r="AN13" s="420">
        <v>21</v>
      </c>
      <c r="AO13" s="420">
        <f>H13*0</f>
        <v>0</v>
      </c>
      <c r="AP13" s="420">
        <f>H13*(1-0)</f>
        <v>0</v>
      </c>
      <c r="AQ13" s="422" t="s">
        <v>657</v>
      </c>
      <c r="AV13" s="420">
        <f>AW13+AX13</f>
        <v>0</v>
      </c>
      <c r="AW13" s="420">
        <f>G13*AO13</f>
        <v>0</v>
      </c>
      <c r="AX13" s="420">
        <f>G13*AP13</f>
        <v>0</v>
      </c>
      <c r="AY13" s="422" t="s">
        <v>661</v>
      </c>
      <c r="AZ13" s="422" t="s">
        <v>661</v>
      </c>
      <c r="BA13" s="408" t="s">
        <v>662</v>
      </c>
      <c r="BC13" s="420">
        <f>AW13+AX13</f>
        <v>0</v>
      </c>
      <c r="BD13" s="420">
        <f>H13/(100-BE13)*100</f>
        <v>0</v>
      </c>
      <c r="BE13" s="420">
        <v>0</v>
      </c>
      <c r="BF13" s="420">
        <f>M13</f>
        <v>0</v>
      </c>
      <c r="BH13" s="420">
        <f>G13*AO13</f>
        <v>0</v>
      </c>
      <c r="BI13" s="420">
        <f>G13*AP13</f>
        <v>0</v>
      </c>
      <c r="BJ13" s="420">
        <f>G13*H13</f>
        <v>0</v>
      </c>
      <c r="BK13" s="420"/>
      <c r="BL13" s="420">
        <v>0</v>
      </c>
    </row>
    <row r="14" spans="1:64" ht="15" customHeight="1">
      <c r="A14" s="423"/>
      <c r="D14" s="424" t="s">
        <v>663</v>
      </c>
      <c r="E14" s="424" t="s">
        <v>654</v>
      </c>
      <c r="G14" s="425">
        <v>1</v>
      </c>
      <c r="N14" s="426"/>
    </row>
    <row r="15" spans="1:64" ht="15" customHeight="1">
      <c r="A15" s="401" t="s">
        <v>666</v>
      </c>
      <c r="B15" s="402" t="s">
        <v>654</v>
      </c>
      <c r="C15" s="402" t="s">
        <v>1089</v>
      </c>
      <c r="D15" s="440" t="s">
        <v>1090</v>
      </c>
      <c r="E15" s="440"/>
      <c r="F15" s="402" t="s">
        <v>660</v>
      </c>
      <c r="G15" s="420">
        <v>1</v>
      </c>
      <c r="H15" s="420"/>
      <c r="I15" s="420">
        <f>G15*AO15</f>
        <v>0</v>
      </c>
      <c r="J15" s="420">
        <f>G15*AP15</f>
        <v>0</v>
      </c>
      <c r="K15" s="420">
        <f>G15*H15</f>
        <v>0</v>
      </c>
      <c r="L15" s="420">
        <v>0</v>
      </c>
      <c r="M15" s="420">
        <f>G15*L15</f>
        <v>0</v>
      </c>
      <c r="N15" s="421" t="s">
        <v>654</v>
      </c>
      <c r="Z15" s="420">
        <f>IF(AQ15="5",BJ15,0)</f>
        <v>0</v>
      </c>
      <c r="AB15" s="420">
        <f>IF(AQ15="1",BH15,0)</f>
        <v>0</v>
      </c>
      <c r="AC15" s="420">
        <f>IF(AQ15="1",BI15,0)</f>
        <v>0</v>
      </c>
      <c r="AD15" s="420">
        <f>IF(AQ15="7",BH15,0)</f>
        <v>0</v>
      </c>
      <c r="AE15" s="420">
        <f>IF(AQ15="7",BI15,0)</f>
        <v>0</v>
      </c>
      <c r="AF15" s="420">
        <f>IF(AQ15="2",BH15,0)</f>
        <v>0</v>
      </c>
      <c r="AG15" s="420">
        <f>IF(AQ15="2",BI15,0)</f>
        <v>0</v>
      </c>
      <c r="AH15" s="420">
        <f>IF(AQ15="0",BJ15,0)</f>
        <v>0</v>
      </c>
      <c r="AI15" s="408" t="s">
        <v>654</v>
      </c>
      <c r="AJ15" s="420">
        <f>IF(AN15=0,K15,0)</f>
        <v>0</v>
      </c>
      <c r="AK15" s="420">
        <f>IF(AN15=15,K15,0)</f>
        <v>0</v>
      </c>
      <c r="AL15" s="420">
        <f>IF(AN15=21,K15,0)</f>
        <v>0</v>
      </c>
      <c r="AN15" s="420">
        <v>21</v>
      </c>
      <c r="AO15" s="420">
        <f>H15*0</f>
        <v>0</v>
      </c>
      <c r="AP15" s="420">
        <f>H15*(1-0)</f>
        <v>0</v>
      </c>
      <c r="AQ15" s="422" t="s">
        <v>657</v>
      </c>
      <c r="AV15" s="420">
        <f>AW15+AX15</f>
        <v>0</v>
      </c>
      <c r="AW15" s="420">
        <f>G15*AO15</f>
        <v>0</v>
      </c>
      <c r="AX15" s="420">
        <f>G15*AP15</f>
        <v>0</v>
      </c>
      <c r="AY15" s="422" t="s">
        <v>661</v>
      </c>
      <c r="AZ15" s="422" t="s">
        <v>661</v>
      </c>
      <c r="BA15" s="408" t="s">
        <v>662</v>
      </c>
      <c r="BC15" s="420">
        <f>AW15+AX15</f>
        <v>0</v>
      </c>
      <c r="BD15" s="420">
        <f>H15/(100-BE15)*100</f>
        <v>0</v>
      </c>
      <c r="BE15" s="420">
        <v>0</v>
      </c>
      <c r="BF15" s="420">
        <f>M15</f>
        <v>0</v>
      </c>
      <c r="BH15" s="420">
        <f>G15*AO15</f>
        <v>0</v>
      </c>
      <c r="BI15" s="420">
        <f>G15*AP15</f>
        <v>0</v>
      </c>
      <c r="BJ15" s="420">
        <f>G15*H15</f>
        <v>0</v>
      </c>
      <c r="BK15" s="420"/>
      <c r="BL15" s="420">
        <v>0</v>
      </c>
    </row>
    <row r="16" spans="1:64" ht="15" customHeight="1">
      <c r="A16" s="423"/>
      <c r="D16" s="424" t="s">
        <v>1091</v>
      </c>
      <c r="E16" s="424" t="s">
        <v>654</v>
      </c>
      <c r="G16" s="425">
        <v>1</v>
      </c>
      <c r="N16" s="426"/>
    </row>
    <row r="17" spans="1:64" ht="15" customHeight="1">
      <c r="A17" s="416" t="s">
        <v>654</v>
      </c>
      <c r="B17" s="417" t="s">
        <v>654</v>
      </c>
      <c r="C17" s="417" t="s">
        <v>664</v>
      </c>
      <c r="D17" s="455" t="s">
        <v>665</v>
      </c>
      <c r="E17" s="455"/>
      <c r="F17" s="418" t="s">
        <v>608</v>
      </c>
      <c r="G17" s="418" t="s">
        <v>608</v>
      </c>
      <c r="H17" s="418"/>
      <c r="I17" s="400">
        <f>SUM(I18:I22)</f>
        <v>0</v>
      </c>
      <c r="J17" s="400">
        <f>SUM(J18:J22)</f>
        <v>0</v>
      </c>
      <c r="K17" s="400">
        <f>SUM(K18:K22)</f>
        <v>0</v>
      </c>
      <c r="L17" s="408" t="s">
        <v>654</v>
      </c>
      <c r="M17" s="400">
        <f>SUM(M18:M22)</f>
        <v>1.16249</v>
      </c>
      <c r="N17" s="419" t="s">
        <v>654</v>
      </c>
      <c r="AI17" s="408" t="s">
        <v>654</v>
      </c>
      <c r="AS17" s="400">
        <f>SUM(AJ18:AJ22)</f>
        <v>0</v>
      </c>
      <c r="AT17" s="400">
        <f>SUM(AK18:AK22)</f>
        <v>0</v>
      </c>
      <c r="AU17" s="400">
        <f>SUM(AL18:AL22)</f>
        <v>0</v>
      </c>
    </row>
    <row r="18" spans="1:64" ht="15" customHeight="1">
      <c r="A18" s="401" t="s">
        <v>671</v>
      </c>
      <c r="B18" s="402" t="s">
        <v>654</v>
      </c>
      <c r="C18" s="402" t="s">
        <v>667</v>
      </c>
      <c r="D18" s="440" t="s">
        <v>668</v>
      </c>
      <c r="E18" s="440"/>
      <c r="F18" s="402" t="s">
        <v>7</v>
      </c>
      <c r="G18" s="420">
        <v>1</v>
      </c>
      <c r="H18" s="420"/>
      <c r="I18" s="420">
        <f>G18*AO18</f>
        <v>0</v>
      </c>
      <c r="J18" s="420">
        <f>G18*AP18</f>
        <v>0</v>
      </c>
      <c r="K18" s="420">
        <f>G18*H18</f>
        <v>0</v>
      </c>
      <c r="L18" s="420">
        <v>2.478E-2</v>
      </c>
      <c r="M18" s="420">
        <f>G18*L18</f>
        <v>2.478E-2</v>
      </c>
      <c r="N18" s="421" t="s">
        <v>1358</v>
      </c>
      <c r="Z18" s="420">
        <f>IF(AQ18="5",BJ18,0)</f>
        <v>0</v>
      </c>
      <c r="AB18" s="420">
        <f>IF(AQ18="1",BH18,0)</f>
        <v>0</v>
      </c>
      <c r="AC18" s="420">
        <f>IF(AQ18="1",BI18,0)</f>
        <v>0</v>
      </c>
      <c r="AD18" s="420">
        <f>IF(AQ18="7",BH18,0)</f>
        <v>0</v>
      </c>
      <c r="AE18" s="420">
        <f>IF(AQ18="7",BI18,0)</f>
        <v>0</v>
      </c>
      <c r="AF18" s="420">
        <f>IF(AQ18="2",BH18,0)</f>
        <v>0</v>
      </c>
      <c r="AG18" s="420">
        <f>IF(AQ18="2",BI18,0)</f>
        <v>0</v>
      </c>
      <c r="AH18" s="420">
        <f>IF(AQ18="0",BJ18,0)</f>
        <v>0</v>
      </c>
      <c r="AI18" s="408" t="s">
        <v>654</v>
      </c>
      <c r="AJ18" s="420">
        <f>IF(AN18=0,K18,0)</f>
        <v>0</v>
      </c>
      <c r="AK18" s="420">
        <f>IF(AN18=15,K18,0)</f>
        <v>0</v>
      </c>
      <c r="AL18" s="420">
        <f>IF(AN18=21,K18,0)</f>
        <v>0</v>
      </c>
      <c r="AN18" s="420">
        <v>21</v>
      </c>
      <c r="AO18" s="420">
        <f>H18*0.352956636005256</f>
        <v>0</v>
      </c>
      <c r="AP18" s="420">
        <f>H18*(1-0.352956636005256)</f>
        <v>0</v>
      </c>
      <c r="AQ18" s="422" t="s">
        <v>657</v>
      </c>
      <c r="AV18" s="420">
        <f>AW18+AX18</f>
        <v>0</v>
      </c>
      <c r="AW18" s="420">
        <f>G18*AO18</f>
        <v>0</v>
      </c>
      <c r="AX18" s="420">
        <f>G18*AP18</f>
        <v>0</v>
      </c>
      <c r="AY18" s="422" t="s">
        <v>669</v>
      </c>
      <c r="AZ18" s="422" t="s">
        <v>670</v>
      </c>
      <c r="BA18" s="408" t="s">
        <v>662</v>
      </c>
      <c r="BC18" s="420">
        <f>AW18+AX18</f>
        <v>0</v>
      </c>
      <c r="BD18" s="420">
        <f>H18/(100-BE18)*100</f>
        <v>0</v>
      </c>
      <c r="BE18" s="420">
        <v>0</v>
      </c>
      <c r="BF18" s="420">
        <f>M18</f>
        <v>2.478E-2</v>
      </c>
      <c r="BH18" s="420">
        <f>G18*AO18</f>
        <v>0</v>
      </c>
      <c r="BI18" s="420">
        <f>G18*AP18</f>
        <v>0</v>
      </c>
      <c r="BJ18" s="420">
        <f>G18*H18</f>
        <v>0</v>
      </c>
      <c r="BK18" s="420"/>
      <c r="BL18" s="420">
        <v>11</v>
      </c>
    </row>
    <row r="19" spans="1:64" ht="15" customHeight="1">
      <c r="A19" s="423"/>
      <c r="D19" s="424" t="s">
        <v>1092</v>
      </c>
      <c r="E19" s="424" t="s">
        <v>654</v>
      </c>
      <c r="G19" s="425">
        <v>1</v>
      </c>
      <c r="N19" s="426"/>
    </row>
    <row r="20" spans="1:64" ht="15" customHeight="1">
      <c r="A20" s="401" t="s">
        <v>674</v>
      </c>
      <c r="B20" s="402" t="s">
        <v>654</v>
      </c>
      <c r="C20" s="402" t="s">
        <v>672</v>
      </c>
      <c r="D20" s="440" t="s">
        <v>673</v>
      </c>
      <c r="E20" s="440"/>
      <c r="F20" s="402" t="s">
        <v>7</v>
      </c>
      <c r="G20" s="420">
        <v>1</v>
      </c>
      <c r="H20" s="420"/>
      <c r="I20" s="420">
        <f>G20*AO20</f>
        <v>0</v>
      </c>
      <c r="J20" s="420">
        <f>G20*AP20</f>
        <v>0</v>
      </c>
      <c r="K20" s="420">
        <f>G20*H20</f>
        <v>0</v>
      </c>
      <c r="L20" s="420">
        <v>1.2710000000000001E-2</v>
      </c>
      <c r="M20" s="420">
        <f>G20*L20</f>
        <v>1.2710000000000001E-2</v>
      </c>
      <c r="N20" s="421" t="s">
        <v>1358</v>
      </c>
      <c r="Z20" s="420">
        <f>IF(AQ20="5",BJ20,0)</f>
        <v>0</v>
      </c>
      <c r="AB20" s="420">
        <f>IF(AQ20="1",BH20,0)</f>
        <v>0</v>
      </c>
      <c r="AC20" s="420">
        <f>IF(AQ20="1",BI20,0)</f>
        <v>0</v>
      </c>
      <c r="AD20" s="420">
        <f>IF(AQ20="7",BH20,0)</f>
        <v>0</v>
      </c>
      <c r="AE20" s="420">
        <f>IF(AQ20="7",BI20,0)</f>
        <v>0</v>
      </c>
      <c r="AF20" s="420">
        <f>IF(AQ20="2",BH20,0)</f>
        <v>0</v>
      </c>
      <c r="AG20" s="420">
        <f>IF(AQ20="2",BI20,0)</f>
        <v>0</v>
      </c>
      <c r="AH20" s="420">
        <f>IF(AQ20="0",BJ20,0)</f>
        <v>0</v>
      </c>
      <c r="AI20" s="408" t="s">
        <v>654</v>
      </c>
      <c r="AJ20" s="420">
        <f>IF(AN20=0,K20,0)</f>
        <v>0</v>
      </c>
      <c r="AK20" s="420">
        <f>IF(AN20=15,K20,0)</f>
        <v>0</v>
      </c>
      <c r="AL20" s="420">
        <f>IF(AN20=21,K20,0)</f>
        <v>0</v>
      </c>
      <c r="AN20" s="420">
        <v>21</v>
      </c>
      <c r="AO20" s="420">
        <f>H20*0.310805661046794</f>
        <v>0</v>
      </c>
      <c r="AP20" s="420">
        <f>H20*(1-0.310805661046794)</f>
        <v>0</v>
      </c>
      <c r="AQ20" s="422" t="s">
        <v>657</v>
      </c>
      <c r="AV20" s="420">
        <f>AW20+AX20</f>
        <v>0</v>
      </c>
      <c r="AW20" s="420">
        <f>G20*AO20</f>
        <v>0</v>
      </c>
      <c r="AX20" s="420">
        <f>G20*AP20</f>
        <v>0</v>
      </c>
      <c r="AY20" s="422" t="s">
        <v>669</v>
      </c>
      <c r="AZ20" s="422" t="s">
        <v>670</v>
      </c>
      <c r="BA20" s="408" t="s">
        <v>662</v>
      </c>
      <c r="BC20" s="420">
        <f>AW20+AX20</f>
        <v>0</v>
      </c>
      <c r="BD20" s="420">
        <f>H20/(100-BE20)*100</f>
        <v>0</v>
      </c>
      <c r="BE20" s="420">
        <v>0</v>
      </c>
      <c r="BF20" s="420">
        <f>M20</f>
        <v>1.2710000000000001E-2</v>
      </c>
      <c r="BH20" s="420">
        <f>G20*AO20</f>
        <v>0</v>
      </c>
      <c r="BI20" s="420">
        <f>G20*AP20</f>
        <v>0</v>
      </c>
      <c r="BJ20" s="420">
        <f>G20*H20</f>
        <v>0</v>
      </c>
      <c r="BK20" s="420"/>
      <c r="BL20" s="420">
        <v>11</v>
      </c>
    </row>
    <row r="21" spans="1:64" ht="15" customHeight="1">
      <c r="A21" s="423"/>
      <c r="D21" s="424" t="s">
        <v>657</v>
      </c>
      <c r="E21" s="424" t="s">
        <v>654</v>
      </c>
      <c r="G21" s="425">
        <v>1</v>
      </c>
      <c r="N21" s="426"/>
    </row>
    <row r="22" spans="1:64" ht="15" customHeight="1">
      <c r="A22" s="401" t="s">
        <v>680</v>
      </c>
      <c r="B22" s="402" t="s">
        <v>654</v>
      </c>
      <c r="C22" s="402" t="s">
        <v>675</v>
      </c>
      <c r="D22" s="440" t="s">
        <v>676</v>
      </c>
      <c r="E22" s="440"/>
      <c r="F22" s="402" t="s">
        <v>40</v>
      </c>
      <c r="G22" s="420">
        <v>5</v>
      </c>
      <c r="H22" s="420"/>
      <c r="I22" s="420">
        <f>G22*AO22</f>
        <v>0</v>
      </c>
      <c r="J22" s="420">
        <f>G22*AP22</f>
        <v>0</v>
      </c>
      <c r="K22" s="420">
        <f>G22*H22</f>
        <v>0</v>
      </c>
      <c r="L22" s="420">
        <v>0.22500000000000001</v>
      </c>
      <c r="M22" s="420">
        <f>G22*L22</f>
        <v>1.125</v>
      </c>
      <c r="N22" s="421" t="s">
        <v>1358</v>
      </c>
      <c r="Z22" s="420">
        <f>IF(AQ22="5",BJ22,0)</f>
        <v>0</v>
      </c>
      <c r="AB22" s="420">
        <f>IF(AQ22="1",BH22,0)</f>
        <v>0</v>
      </c>
      <c r="AC22" s="420">
        <f>IF(AQ22="1",BI22,0)</f>
        <v>0</v>
      </c>
      <c r="AD22" s="420">
        <f>IF(AQ22="7",BH22,0)</f>
        <v>0</v>
      </c>
      <c r="AE22" s="420">
        <f>IF(AQ22="7",BI22,0)</f>
        <v>0</v>
      </c>
      <c r="AF22" s="420">
        <f>IF(AQ22="2",BH22,0)</f>
        <v>0</v>
      </c>
      <c r="AG22" s="420">
        <f>IF(AQ22="2",BI22,0)</f>
        <v>0</v>
      </c>
      <c r="AH22" s="420">
        <f>IF(AQ22="0",BJ22,0)</f>
        <v>0</v>
      </c>
      <c r="AI22" s="408" t="s">
        <v>654</v>
      </c>
      <c r="AJ22" s="420">
        <f>IF(AN22=0,K22,0)</f>
        <v>0</v>
      </c>
      <c r="AK22" s="420">
        <f>IF(AN22=15,K22,0)</f>
        <v>0</v>
      </c>
      <c r="AL22" s="420">
        <f>IF(AN22=21,K22,0)</f>
        <v>0</v>
      </c>
      <c r="AN22" s="420">
        <v>21</v>
      </c>
      <c r="AO22" s="420">
        <f>H22*0</f>
        <v>0</v>
      </c>
      <c r="AP22" s="420">
        <f>H22*(1-0)</f>
        <v>0</v>
      </c>
      <c r="AQ22" s="422" t="s">
        <v>657</v>
      </c>
      <c r="AV22" s="420">
        <f>AW22+AX22</f>
        <v>0</v>
      </c>
      <c r="AW22" s="420">
        <f>G22*AO22</f>
        <v>0</v>
      </c>
      <c r="AX22" s="420">
        <f>G22*AP22</f>
        <v>0</v>
      </c>
      <c r="AY22" s="422" t="s">
        <v>669</v>
      </c>
      <c r="AZ22" s="422" t="s">
        <v>670</v>
      </c>
      <c r="BA22" s="408" t="s">
        <v>662</v>
      </c>
      <c r="BC22" s="420">
        <f>AW22+AX22</f>
        <v>0</v>
      </c>
      <c r="BD22" s="420">
        <f>H22/(100-BE22)*100</f>
        <v>0</v>
      </c>
      <c r="BE22" s="420">
        <v>0</v>
      </c>
      <c r="BF22" s="420">
        <f>M22</f>
        <v>1.125</v>
      </c>
      <c r="BH22" s="420">
        <f>G22*AO22</f>
        <v>0</v>
      </c>
      <c r="BI22" s="420">
        <f>G22*AP22</f>
        <v>0</v>
      </c>
      <c r="BJ22" s="420">
        <f>G22*H22</f>
        <v>0</v>
      </c>
      <c r="BK22" s="420"/>
      <c r="BL22" s="420">
        <v>11</v>
      </c>
    </row>
    <row r="23" spans="1:64" ht="15" customHeight="1">
      <c r="A23" s="423"/>
      <c r="D23" s="424" t="s">
        <v>680</v>
      </c>
      <c r="E23" s="424" t="s">
        <v>654</v>
      </c>
      <c r="G23" s="425">
        <v>5</v>
      </c>
      <c r="N23" s="426"/>
    </row>
    <row r="24" spans="1:64" ht="15" customHeight="1">
      <c r="A24" s="416" t="s">
        <v>654</v>
      </c>
      <c r="B24" s="417" t="s">
        <v>654</v>
      </c>
      <c r="C24" s="417" t="s">
        <v>689</v>
      </c>
      <c r="D24" s="455" t="s">
        <v>690</v>
      </c>
      <c r="E24" s="455"/>
      <c r="F24" s="418" t="s">
        <v>608</v>
      </c>
      <c r="G24" s="418" t="s">
        <v>608</v>
      </c>
      <c r="H24" s="418"/>
      <c r="I24" s="400">
        <f>SUM(I25:I35)</f>
        <v>0</v>
      </c>
      <c r="J24" s="400">
        <f>SUM(J25:J35)</f>
        <v>0</v>
      </c>
      <c r="K24" s="400">
        <f>SUM(K25:K35)</f>
        <v>0</v>
      </c>
      <c r="L24" s="408" t="s">
        <v>654</v>
      </c>
      <c r="M24" s="400">
        <f>SUM(M25:M35)</f>
        <v>0.47275655</v>
      </c>
      <c r="N24" s="419" t="s">
        <v>654</v>
      </c>
      <c r="AI24" s="408" t="s">
        <v>654</v>
      </c>
      <c r="AS24" s="400">
        <f>SUM(AJ25:AJ35)</f>
        <v>0</v>
      </c>
      <c r="AT24" s="400">
        <f>SUM(AK25:AK35)</f>
        <v>0</v>
      </c>
      <c r="AU24" s="400">
        <f>SUM(AL25:AL35)</f>
        <v>0</v>
      </c>
    </row>
    <row r="25" spans="1:64" ht="15" customHeight="1">
      <c r="A25" s="401" t="s">
        <v>682</v>
      </c>
      <c r="B25" s="402" t="s">
        <v>654</v>
      </c>
      <c r="C25" s="402" t="s">
        <v>692</v>
      </c>
      <c r="D25" s="440" t="s">
        <v>693</v>
      </c>
      <c r="E25" s="440"/>
      <c r="F25" s="402" t="s">
        <v>694</v>
      </c>
      <c r="G25" s="420">
        <v>76.257499999999993</v>
      </c>
      <c r="H25" s="420"/>
      <c r="I25" s="420">
        <f>G25*AO25</f>
        <v>0</v>
      </c>
      <c r="J25" s="420">
        <f>G25*AP25</f>
        <v>0</v>
      </c>
      <c r="K25" s="420">
        <f>G25*H25</f>
        <v>0</v>
      </c>
      <c r="L25" s="420">
        <v>0</v>
      </c>
      <c r="M25" s="420">
        <f>G25*L25</f>
        <v>0</v>
      </c>
      <c r="N25" s="421" t="s">
        <v>1358</v>
      </c>
      <c r="Z25" s="420">
        <f>IF(AQ25="5",BJ25,0)</f>
        <v>0</v>
      </c>
      <c r="AB25" s="420">
        <f>IF(AQ25="1",BH25,0)</f>
        <v>0</v>
      </c>
      <c r="AC25" s="420">
        <f>IF(AQ25="1",BI25,0)</f>
        <v>0</v>
      </c>
      <c r="AD25" s="420">
        <f>IF(AQ25="7",BH25,0)</f>
        <v>0</v>
      </c>
      <c r="AE25" s="420">
        <f>IF(AQ25="7",BI25,0)</f>
        <v>0</v>
      </c>
      <c r="AF25" s="420">
        <f>IF(AQ25="2",BH25,0)</f>
        <v>0</v>
      </c>
      <c r="AG25" s="420">
        <f>IF(AQ25="2",BI25,0)</f>
        <v>0</v>
      </c>
      <c r="AH25" s="420">
        <f>IF(AQ25="0",BJ25,0)</f>
        <v>0</v>
      </c>
      <c r="AI25" s="408" t="s">
        <v>654</v>
      </c>
      <c r="AJ25" s="420">
        <f>IF(AN25=0,K25,0)</f>
        <v>0</v>
      </c>
      <c r="AK25" s="420">
        <f>IF(AN25=15,K25,0)</f>
        <v>0</v>
      </c>
      <c r="AL25" s="420">
        <f>IF(AN25=21,K25,0)</f>
        <v>0</v>
      </c>
      <c r="AN25" s="420">
        <v>21</v>
      </c>
      <c r="AO25" s="420">
        <f>H25*0</f>
        <v>0</v>
      </c>
      <c r="AP25" s="420">
        <f>H25*(1-0)</f>
        <v>0</v>
      </c>
      <c r="AQ25" s="422" t="s">
        <v>657</v>
      </c>
      <c r="AV25" s="420">
        <f>AW25+AX25</f>
        <v>0</v>
      </c>
      <c r="AW25" s="420">
        <f>G25*AO25</f>
        <v>0</v>
      </c>
      <c r="AX25" s="420">
        <f>G25*AP25</f>
        <v>0</v>
      </c>
      <c r="AY25" s="422" t="s">
        <v>695</v>
      </c>
      <c r="AZ25" s="422" t="s">
        <v>670</v>
      </c>
      <c r="BA25" s="408" t="s">
        <v>662</v>
      </c>
      <c r="BC25" s="420">
        <f>AW25+AX25</f>
        <v>0</v>
      </c>
      <c r="BD25" s="420">
        <f>H25/(100-BE25)*100</f>
        <v>0</v>
      </c>
      <c r="BE25" s="420">
        <v>0</v>
      </c>
      <c r="BF25" s="420">
        <f>M25</f>
        <v>0</v>
      </c>
      <c r="BH25" s="420">
        <f>G25*AO25</f>
        <v>0</v>
      </c>
      <c r="BI25" s="420">
        <f>G25*AP25</f>
        <v>0</v>
      </c>
      <c r="BJ25" s="420">
        <f>G25*H25</f>
        <v>0</v>
      </c>
      <c r="BK25" s="420"/>
      <c r="BL25" s="420">
        <v>13</v>
      </c>
    </row>
    <row r="26" spans="1:64" ht="15" customHeight="1">
      <c r="A26" s="423"/>
      <c r="D26" s="424" t="s">
        <v>1093</v>
      </c>
      <c r="E26" s="424" t="s">
        <v>654</v>
      </c>
      <c r="G26" s="425">
        <v>76.257500000000007</v>
      </c>
      <c r="N26" s="426"/>
    </row>
    <row r="27" spans="1:64" ht="15" customHeight="1">
      <c r="A27" s="401" t="s">
        <v>686</v>
      </c>
      <c r="B27" s="402" t="s">
        <v>654</v>
      </c>
      <c r="C27" s="402" t="s">
        <v>698</v>
      </c>
      <c r="D27" s="440" t="s">
        <v>699</v>
      </c>
      <c r="E27" s="440"/>
      <c r="F27" s="402" t="s">
        <v>694</v>
      </c>
      <c r="G27" s="420">
        <v>15.2515</v>
      </c>
      <c r="H27" s="420"/>
      <c r="I27" s="420">
        <f>G27*AO27</f>
        <v>0</v>
      </c>
      <c r="J27" s="420">
        <f>G27*AP27</f>
        <v>0</v>
      </c>
      <c r="K27" s="420">
        <f>G27*H27</f>
        <v>0</v>
      </c>
      <c r="L27" s="420">
        <v>0</v>
      </c>
      <c r="M27" s="420">
        <f>G27*L27</f>
        <v>0</v>
      </c>
      <c r="N27" s="421" t="s">
        <v>1358</v>
      </c>
      <c r="Z27" s="420">
        <f>IF(AQ27="5",BJ27,0)</f>
        <v>0</v>
      </c>
      <c r="AB27" s="420">
        <f>IF(AQ27="1",BH27,0)</f>
        <v>0</v>
      </c>
      <c r="AC27" s="420">
        <f>IF(AQ27="1",BI27,0)</f>
        <v>0</v>
      </c>
      <c r="AD27" s="420">
        <f>IF(AQ27="7",BH27,0)</f>
        <v>0</v>
      </c>
      <c r="AE27" s="420">
        <f>IF(AQ27="7",BI27,0)</f>
        <v>0</v>
      </c>
      <c r="AF27" s="420">
        <f>IF(AQ27="2",BH27,0)</f>
        <v>0</v>
      </c>
      <c r="AG27" s="420">
        <f>IF(AQ27="2",BI27,0)</f>
        <v>0</v>
      </c>
      <c r="AH27" s="420">
        <f>IF(AQ27="0",BJ27,0)</f>
        <v>0</v>
      </c>
      <c r="AI27" s="408" t="s">
        <v>654</v>
      </c>
      <c r="AJ27" s="420">
        <f>IF(AN27=0,K27,0)</f>
        <v>0</v>
      </c>
      <c r="AK27" s="420">
        <f>IF(AN27=15,K27,0)</f>
        <v>0</v>
      </c>
      <c r="AL27" s="420">
        <f>IF(AN27=21,K27,0)</f>
        <v>0</v>
      </c>
      <c r="AN27" s="420">
        <v>21</v>
      </c>
      <c r="AO27" s="420">
        <f>H27*0</f>
        <v>0</v>
      </c>
      <c r="AP27" s="420">
        <f>H27*(1-0)</f>
        <v>0</v>
      </c>
      <c r="AQ27" s="422" t="s">
        <v>657</v>
      </c>
      <c r="AV27" s="420">
        <f>AW27+AX27</f>
        <v>0</v>
      </c>
      <c r="AW27" s="420">
        <f>G27*AO27</f>
        <v>0</v>
      </c>
      <c r="AX27" s="420">
        <f>G27*AP27</f>
        <v>0</v>
      </c>
      <c r="AY27" s="422" t="s">
        <v>695</v>
      </c>
      <c r="AZ27" s="422" t="s">
        <v>670</v>
      </c>
      <c r="BA27" s="408" t="s">
        <v>662</v>
      </c>
      <c r="BC27" s="420">
        <f>AW27+AX27</f>
        <v>0</v>
      </c>
      <c r="BD27" s="420">
        <f>H27/(100-BE27)*100</f>
        <v>0</v>
      </c>
      <c r="BE27" s="420">
        <v>0</v>
      </c>
      <c r="BF27" s="420">
        <f>M27</f>
        <v>0</v>
      </c>
      <c r="BH27" s="420">
        <f>G27*AO27</f>
        <v>0</v>
      </c>
      <c r="BI27" s="420">
        <f>G27*AP27</f>
        <v>0</v>
      </c>
      <c r="BJ27" s="420">
        <f>G27*H27</f>
        <v>0</v>
      </c>
      <c r="BK27" s="420"/>
      <c r="BL27" s="420">
        <v>13</v>
      </c>
    </row>
    <row r="28" spans="1:64" ht="15" customHeight="1">
      <c r="A28" s="423"/>
      <c r="D28" s="424" t="s">
        <v>1094</v>
      </c>
      <c r="E28" s="424" t="s">
        <v>654</v>
      </c>
      <c r="G28" s="425">
        <v>15.251500000000002</v>
      </c>
      <c r="N28" s="426"/>
    </row>
    <row r="29" spans="1:64" ht="15" customHeight="1">
      <c r="A29" s="401" t="s">
        <v>691</v>
      </c>
      <c r="B29" s="402" t="s">
        <v>654</v>
      </c>
      <c r="C29" s="402" t="s">
        <v>1095</v>
      </c>
      <c r="D29" s="440" t="s">
        <v>1096</v>
      </c>
      <c r="E29" s="440"/>
      <c r="F29" s="402" t="s">
        <v>694</v>
      </c>
      <c r="G29" s="420">
        <v>1.8860399999999999</v>
      </c>
      <c r="H29" s="420"/>
      <c r="I29" s="420">
        <f>G29*AO29</f>
        <v>0</v>
      </c>
      <c r="J29" s="420">
        <f>G29*AP29</f>
        <v>0</v>
      </c>
      <c r="K29" s="420">
        <f>G29*H29</f>
        <v>0</v>
      </c>
      <c r="L29" s="420">
        <v>0</v>
      </c>
      <c r="M29" s="420">
        <f>G29*L29</f>
        <v>0</v>
      </c>
      <c r="N29" s="421" t="s">
        <v>1358</v>
      </c>
      <c r="Z29" s="420">
        <f>IF(AQ29="5",BJ29,0)</f>
        <v>0</v>
      </c>
      <c r="AB29" s="420">
        <f>IF(AQ29="1",BH29,0)</f>
        <v>0</v>
      </c>
      <c r="AC29" s="420">
        <f>IF(AQ29="1",BI29,0)</f>
        <v>0</v>
      </c>
      <c r="AD29" s="420">
        <f>IF(AQ29="7",BH29,0)</f>
        <v>0</v>
      </c>
      <c r="AE29" s="420">
        <f>IF(AQ29="7",BI29,0)</f>
        <v>0</v>
      </c>
      <c r="AF29" s="420">
        <f>IF(AQ29="2",BH29,0)</f>
        <v>0</v>
      </c>
      <c r="AG29" s="420">
        <f>IF(AQ29="2",BI29,0)</f>
        <v>0</v>
      </c>
      <c r="AH29" s="420">
        <f>IF(AQ29="0",BJ29,0)</f>
        <v>0</v>
      </c>
      <c r="AI29" s="408" t="s">
        <v>654</v>
      </c>
      <c r="AJ29" s="420">
        <f>IF(AN29=0,K29,0)</f>
        <v>0</v>
      </c>
      <c r="AK29" s="420">
        <f>IF(AN29=15,K29,0)</f>
        <v>0</v>
      </c>
      <c r="AL29" s="420">
        <f>IF(AN29=21,K29,0)</f>
        <v>0</v>
      </c>
      <c r="AN29" s="420">
        <v>21</v>
      </c>
      <c r="AO29" s="420">
        <f>H29*0</f>
        <v>0</v>
      </c>
      <c r="AP29" s="420">
        <f>H29*(1-0)</f>
        <v>0</v>
      </c>
      <c r="AQ29" s="422" t="s">
        <v>657</v>
      </c>
      <c r="AV29" s="420">
        <f>AW29+AX29</f>
        <v>0</v>
      </c>
      <c r="AW29" s="420">
        <f>G29*AO29</f>
        <v>0</v>
      </c>
      <c r="AX29" s="420">
        <f>G29*AP29</f>
        <v>0</v>
      </c>
      <c r="AY29" s="422" t="s">
        <v>695</v>
      </c>
      <c r="AZ29" s="422" t="s">
        <v>670</v>
      </c>
      <c r="BA29" s="408" t="s">
        <v>662</v>
      </c>
      <c r="BC29" s="420">
        <f>AW29+AX29</f>
        <v>0</v>
      </c>
      <c r="BD29" s="420">
        <f>H29/(100-BE29)*100</f>
        <v>0</v>
      </c>
      <c r="BE29" s="420">
        <v>0</v>
      </c>
      <c r="BF29" s="420">
        <f>M29</f>
        <v>0</v>
      </c>
      <c r="BH29" s="420">
        <f>G29*AO29</f>
        <v>0</v>
      </c>
      <c r="BI29" s="420">
        <f>G29*AP29</f>
        <v>0</v>
      </c>
      <c r="BJ29" s="420">
        <f>G29*H29</f>
        <v>0</v>
      </c>
      <c r="BK29" s="420"/>
      <c r="BL29" s="420">
        <v>13</v>
      </c>
    </row>
    <row r="30" spans="1:64" ht="15" customHeight="1">
      <c r="A30" s="423"/>
      <c r="D30" s="424" t="s">
        <v>1097</v>
      </c>
      <c r="E30" s="424" t="s">
        <v>654</v>
      </c>
      <c r="G30" s="425">
        <v>1.8860400000000002</v>
      </c>
      <c r="N30" s="426"/>
    </row>
    <row r="31" spans="1:64" ht="15" customHeight="1">
      <c r="A31" s="401" t="s">
        <v>697</v>
      </c>
      <c r="B31" s="402" t="s">
        <v>654</v>
      </c>
      <c r="C31" s="402" t="s">
        <v>702</v>
      </c>
      <c r="D31" s="440" t="s">
        <v>703</v>
      </c>
      <c r="E31" s="440"/>
      <c r="F31" s="402" t="s">
        <v>694</v>
      </c>
      <c r="G31" s="420">
        <v>201.173</v>
      </c>
      <c r="H31" s="420"/>
      <c r="I31" s="420">
        <f>G31*AO31</f>
        <v>0</v>
      </c>
      <c r="J31" s="420">
        <f>G31*AP31</f>
        <v>0</v>
      </c>
      <c r="K31" s="420">
        <f>G31*H31</f>
        <v>0</v>
      </c>
      <c r="L31" s="420">
        <v>2.3500000000000001E-3</v>
      </c>
      <c r="M31" s="420">
        <f>G31*L31</f>
        <v>0.47275655</v>
      </c>
      <c r="N31" s="421" t="s">
        <v>1358</v>
      </c>
      <c r="Z31" s="420">
        <f>IF(AQ31="5",BJ31,0)</f>
        <v>0</v>
      </c>
      <c r="AB31" s="420">
        <f>IF(AQ31="1",BH31,0)</f>
        <v>0</v>
      </c>
      <c r="AC31" s="420">
        <f>IF(AQ31="1",BI31,0)</f>
        <v>0</v>
      </c>
      <c r="AD31" s="420">
        <f>IF(AQ31="7",BH31,0)</f>
        <v>0</v>
      </c>
      <c r="AE31" s="420">
        <f>IF(AQ31="7",BI31,0)</f>
        <v>0</v>
      </c>
      <c r="AF31" s="420">
        <f>IF(AQ31="2",BH31,0)</f>
        <v>0</v>
      </c>
      <c r="AG31" s="420">
        <f>IF(AQ31="2",BI31,0)</f>
        <v>0</v>
      </c>
      <c r="AH31" s="420">
        <f>IF(AQ31="0",BJ31,0)</f>
        <v>0</v>
      </c>
      <c r="AI31" s="408" t="s">
        <v>654</v>
      </c>
      <c r="AJ31" s="420">
        <f>IF(AN31=0,K31,0)</f>
        <v>0</v>
      </c>
      <c r="AK31" s="420">
        <f>IF(AN31=15,K31,0)</f>
        <v>0</v>
      </c>
      <c r="AL31" s="420">
        <f>IF(AN31=21,K31,0)</f>
        <v>0</v>
      </c>
      <c r="AN31" s="420">
        <v>21</v>
      </c>
      <c r="AO31" s="420">
        <f>H31*0.0438492057725724</f>
        <v>0</v>
      </c>
      <c r="AP31" s="420">
        <f>H31*(1-0.0438492057725724)</f>
        <v>0</v>
      </c>
      <c r="AQ31" s="422" t="s">
        <v>657</v>
      </c>
      <c r="AV31" s="420">
        <f>AW31+AX31</f>
        <v>0</v>
      </c>
      <c r="AW31" s="420">
        <f>G31*AO31</f>
        <v>0</v>
      </c>
      <c r="AX31" s="420">
        <f>G31*AP31</f>
        <v>0</v>
      </c>
      <c r="AY31" s="422" t="s">
        <v>695</v>
      </c>
      <c r="AZ31" s="422" t="s">
        <v>670</v>
      </c>
      <c r="BA31" s="408" t="s">
        <v>662</v>
      </c>
      <c r="BC31" s="420">
        <f>AW31+AX31</f>
        <v>0</v>
      </c>
      <c r="BD31" s="420">
        <f>H31/(100-BE31)*100</f>
        <v>0</v>
      </c>
      <c r="BE31" s="420">
        <v>0</v>
      </c>
      <c r="BF31" s="420">
        <f>M31</f>
        <v>0.47275655</v>
      </c>
      <c r="BH31" s="420">
        <f>G31*AO31</f>
        <v>0</v>
      </c>
      <c r="BI31" s="420">
        <f>G31*AP31</f>
        <v>0</v>
      </c>
      <c r="BJ31" s="420">
        <f>G31*H31</f>
        <v>0</v>
      </c>
      <c r="BK31" s="420"/>
      <c r="BL31" s="420">
        <v>13</v>
      </c>
    </row>
    <row r="32" spans="1:64" ht="15" customHeight="1">
      <c r="A32" s="423"/>
      <c r="D32" s="424" t="s">
        <v>1098</v>
      </c>
      <c r="E32" s="424" t="s">
        <v>654</v>
      </c>
      <c r="G32" s="425">
        <v>201.17300000000003</v>
      </c>
      <c r="N32" s="426"/>
    </row>
    <row r="33" spans="1:64" ht="15" customHeight="1">
      <c r="A33" s="401" t="s">
        <v>701</v>
      </c>
      <c r="B33" s="402" t="s">
        <v>654</v>
      </c>
      <c r="C33" s="402" t="s">
        <v>706</v>
      </c>
      <c r="D33" s="440" t="s">
        <v>707</v>
      </c>
      <c r="E33" s="440"/>
      <c r="F33" s="402" t="s">
        <v>694</v>
      </c>
      <c r="G33" s="420">
        <v>40.2346</v>
      </c>
      <c r="H33" s="420"/>
      <c r="I33" s="420">
        <f>G33*AO33</f>
        <v>0</v>
      </c>
      <c r="J33" s="420">
        <f>G33*AP33</f>
        <v>0</v>
      </c>
      <c r="K33" s="420">
        <f>G33*H33</f>
        <v>0</v>
      </c>
      <c r="L33" s="420">
        <v>0</v>
      </c>
      <c r="M33" s="420">
        <f>G33*L33</f>
        <v>0</v>
      </c>
      <c r="N33" s="421" t="s">
        <v>1358</v>
      </c>
      <c r="Z33" s="420">
        <f>IF(AQ33="5",BJ33,0)</f>
        <v>0</v>
      </c>
      <c r="AB33" s="420">
        <f>IF(AQ33="1",BH33,0)</f>
        <v>0</v>
      </c>
      <c r="AC33" s="420">
        <f>IF(AQ33="1",BI33,0)</f>
        <v>0</v>
      </c>
      <c r="AD33" s="420">
        <f>IF(AQ33="7",BH33,0)</f>
        <v>0</v>
      </c>
      <c r="AE33" s="420">
        <f>IF(AQ33="7",BI33,0)</f>
        <v>0</v>
      </c>
      <c r="AF33" s="420">
        <f>IF(AQ33="2",BH33,0)</f>
        <v>0</v>
      </c>
      <c r="AG33" s="420">
        <f>IF(AQ33="2",BI33,0)</f>
        <v>0</v>
      </c>
      <c r="AH33" s="420">
        <f>IF(AQ33="0",BJ33,0)</f>
        <v>0</v>
      </c>
      <c r="AI33" s="408" t="s">
        <v>654</v>
      </c>
      <c r="AJ33" s="420">
        <f>IF(AN33=0,K33,0)</f>
        <v>0</v>
      </c>
      <c r="AK33" s="420">
        <f>IF(AN33=15,K33,0)</f>
        <v>0</v>
      </c>
      <c r="AL33" s="420">
        <f>IF(AN33=21,K33,0)</f>
        <v>0</v>
      </c>
      <c r="AN33" s="420">
        <v>21</v>
      </c>
      <c r="AO33" s="420">
        <f>H33*0</f>
        <v>0</v>
      </c>
      <c r="AP33" s="420">
        <f>H33*(1-0)</f>
        <v>0</v>
      </c>
      <c r="AQ33" s="422" t="s">
        <v>657</v>
      </c>
      <c r="AV33" s="420">
        <f>AW33+AX33</f>
        <v>0</v>
      </c>
      <c r="AW33" s="420">
        <f>G33*AO33</f>
        <v>0</v>
      </c>
      <c r="AX33" s="420">
        <f>G33*AP33</f>
        <v>0</v>
      </c>
      <c r="AY33" s="422" t="s">
        <v>695</v>
      </c>
      <c r="AZ33" s="422" t="s">
        <v>670</v>
      </c>
      <c r="BA33" s="408" t="s">
        <v>662</v>
      </c>
      <c r="BC33" s="420">
        <f>AW33+AX33</f>
        <v>0</v>
      </c>
      <c r="BD33" s="420">
        <f>H33/(100-BE33)*100</f>
        <v>0</v>
      </c>
      <c r="BE33" s="420">
        <v>0</v>
      </c>
      <c r="BF33" s="420">
        <f>M33</f>
        <v>0</v>
      </c>
      <c r="BH33" s="420">
        <f>G33*AO33</f>
        <v>0</v>
      </c>
      <c r="BI33" s="420">
        <f>G33*AP33</f>
        <v>0</v>
      </c>
      <c r="BJ33" s="420">
        <f>G33*H33</f>
        <v>0</v>
      </c>
      <c r="BK33" s="420"/>
      <c r="BL33" s="420">
        <v>13</v>
      </c>
    </row>
    <row r="34" spans="1:64" ht="15" customHeight="1">
      <c r="A34" s="423"/>
      <c r="D34" s="424" t="s">
        <v>1099</v>
      </c>
      <c r="E34" s="424" t="s">
        <v>654</v>
      </c>
      <c r="G34" s="425">
        <v>40.2346</v>
      </c>
      <c r="N34" s="426"/>
    </row>
    <row r="35" spans="1:64" ht="15" customHeight="1">
      <c r="A35" s="401" t="s">
        <v>664</v>
      </c>
      <c r="B35" s="402" t="s">
        <v>654</v>
      </c>
      <c r="C35" s="402" t="s">
        <v>709</v>
      </c>
      <c r="D35" s="440" t="s">
        <v>710</v>
      </c>
      <c r="E35" s="440"/>
      <c r="F35" s="402" t="s">
        <v>7</v>
      </c>
      <c r="G35" s="420">
        <v>137.9</v>
      </c>
      <c r="H35" s="420"/>
      <c r="I35" s="420">
        <f>G35*AO35</f>
        <v>0</v>
      </c>
      <c r="J35" s="420">
        <f>G35*AP35</f>
        <v>0</v>
      </c>
      <c r="K35" s="420">
        <f>G35*H35</f>
        <v>0</v>
      </c>
      <c r="L35" s="420">
        <v>0</v>
      </c>
      <c r="M35" s="420">
        <f>G35*L35</f>
        <v>0</v>
      </c>
      <c r="N35" s="421" t="s">
        <v>1358</v>
      </c>
      <c r="Z35" s="420">
        <f>IF(AQ35="5",BJ35,0)</f>
        <v>0</v>
      </c>
      <c r="AB35" s="420">
        <f>IF(AQ35="1",BH35,0)</f>
        <v>0</v>
      </c>
      <c r="AC35" s="420">
        <f>IF(AQ35="1",BI35,0)</f>
        <v>0</v>
      </c>
      <c r="AD35" s="420">
        <f>IF(AQ35="7",BH35,0)</f>
        <v>0</v>
      </c>
      <c r="AE35" s="420">
        <f>IF(AQ35="7",BI35,0)</f>
        <v>0</v>
      </c>
      <c r="AF35" s="420">
        <f>IF(AQ35="2",BH35,0)</f>
        <v>0</v>
      </c>
      <c r="AG35" s="420">
        <f>IF(AQ35="2",BI35,0)</f>
        <v>0</v>
      </c>
      <c r="AH35" s="420">
        <f>IF(AQ35="0",BJ35,0)</f>
        <v>0</v>
      </c>
      <c r="AI35" s="408" t="s">
        <v>654</v>
      </c>
      <c r="AJ35" s="420">
        <f>IF(AN35=0,K35,0)</f>
        <v>0</v>
      </c>
      <c r="AK35" s="420">
        <f>IF(AN35=15,K35,0)</f>
        <v>0</v>
      </c>
      <c r="AL35" s="420">
        <f>IF(AN35=21,K35,0)</f>
        <v>0</v>
      </c>
      <c r="AN35" s="420">
        <v>21</v>
      </c>
      <c r="AO35" s="420">
        <f>H35*0</f>
        <v>0</v>
      </c>
      <c r="AP35" s="420">
        <f>H35*(1-0)</f>
        <v>0</v>
      </c>
      <c r="AQ35" s="422" t="s">
        <v>657</v>
      </c>
      <c r="AV35" s="420">
        <f>AW35+AX35</f>
        <v>0</v>
      </c>
      <c r="AW35" s="420">
        <f>G35*AO35</f>
        <v>0</v>
      </c>
      <c r="AX35" s="420">
        <f>G35*AP35</f>
        <v>0</v>
      </c>
      <c r="AY35" s="422" t="s">
        <v>695</v>
      </c>
      <c r="AZ35" s="422" t="s">
        <v>670</v>
      </c>
      <c r="BA35" s="408" t="s">
        <v>662</v>
      </c>
      <c r="BC35" s="420">
        <f>AW35+AX35</f>
        <v>0</v>
      </c>
      <c r="BD35" s="420">
        <f>H35/(100-BE35)*100</f>
        <v>0</v>
      </c>
      <c r="BE35" s="420">
        <v>0</v>
      </c>
      <c r="BF35" s="420">
        <f>M35</f>
        <v>0</v>
      </c>
      <c r="BH35" s="420">
        <f>G35*AO35</f>
        <v>0</v>
      </c>
      <c r="BI35" s="420">
        <f>G35*AP35</f>
        <v>0</v>
      </c>
      <c r="BJ35" s="420">
        <f>G35*H35</f>
        <v>0</v>
      </c>
      <c r="BK35" s="420"/>
      <c r="BL35" s="420">
        <v>13</v>
      </c>
    </row>
    <row r="36" spans="1:64" ht="15" customHeight="1">
      <c r="A36" s="423"/>
      <c r="D36" s="424" t="s">
        <v>1100</v>
      </c>
      <c r="E36" s="424" t="s">
        <v>654</v>
      </c>
      <c r="G36" s="425">
        <v>137.9</v>
      </c>
      <c r="N36" s="426"/>
    </row>
    <row r="37" spans="1:64" ht="15" customHeight="1">
      <c r="A37" s="416" t="s">
        <v>654</v>
      </c>
      <c r="B37" s="417" t="s">
        <v>654</v>
      </c>
      <c r="C37" s="417" t="s">
        <v>712</v>
      </c>
      <c r="D37" s="455" t="s">
        <v>713</v>
      </c>
      <c r="E37" s="455"/>
      <c r="F37" s="418" t="s">
        <v>608</v>
      </c>
      <c r="G37" s="418" t="s">
        <v>608</v>
      </c>
      <c r="H37" s="418"/>
      <c r="I37" s="400">
        <f>SUM(I38:I50)</f>
        <v>0</v>
      </c>
      <c r="J37" s="400">
        <f>SUM(J38:J50)</f>
        <v>0</v>
      </c>
      <c r="K37" s="400">
        <f>SUM(K38:K50)</f>
        <v>0</v>
      </c>
      <c r="L37" s="408" t="s">
        <v>654</v>
      </c>
      <c r="M37" s="400">
        <f>SUM(M38:M50)</f>
        <v>0.39756853999999997</v>
      </c>
      <c r="N37" s="419" t="s">
        <v>654</v>
      </c>
      <c r="AI37" s="408" t="s">
        <v>654</v>
      </c>
      <c r="AS37" s="400">
        <f>SUM(AJ38:AJ50)</f>
        <v>0</v>
      </c>
      <c r="AT37" s="400">
        <f>SUM(AK38:AK50)</f>
        <v>0</v>
      </c>
      <c r="AU37" s="400">
        <f>SUM(AL38:AL50)</f>
        <v>0</v>
      </c>
    </row>
    <row r="38" spans="1:64" ht="15" customHeight="1">
      <c r="A38" s="401" t="s">
        <v>708</v>
      </c>
      <c r="B38" s="402" t="s">
        <v>654</v>
      </c>
      <c r="C38" s="402" t="s">
        <v>1101</v>
      </c>
      <c r="D38" s="440" t="s">
        <v>1102</v>
      </c>
      <c r="E38" s="440"/>
      <c r="F38" s="402" t="s">
        <v>14</v>
      </c>
      <c r="G38" s="420">
        <v>2</v>
      </c>
      <c r="H38" s="420"/>
      <c r="I38" s="420">
        <f>G38*AO38</f>
        <v>0</v>
      </c>
      <c r="J38" s="420">
        <f>G38*AP38</f>
        <v>0</v>
      </c>
      <c r="K38" s="420">
        <f>G38*H38</f>
        <v>0</v>
      </c>
      <c r="L38" s="420">
        <v>0</v>
      </c>
      <c r="M38" s="420">
        <f>G38*L38</f>
        <v>0</v>
      </c>
      <c r="N38" s="421" t="s">
        <v>1358</v>
      </c>
      <c r="Z38" s="420">
        <f>IF(AQ38="5",BJ38,0)</f>
        <v>0</v>
      </c>
      <c r="AB38" s="420">
        <f>IF(AQ38="1",BH38,0)</f>
        <v>0</v>
      </c>
      <c r="AC38" s="420">
        <f>IF(AQ38="1",BI38,0)</f>
        <v>0</v>
      </c>
      <c r="AD38" s="420">
        <f>IF(AQ38="7",BH38,0)</f>
        <v>0</v>
      </c>
      <c r="AE38" s="420">
        <f>IF(AQ38="7",BI38,0)</f>
        <v>0</v>
      </c>
      <c r="AF38" s="420">
        <f>IF(AQ38="2",BH38,0)</f>
        <v>0</v>
      </c>
      <c r="AG38" s="420">
        <f>IF(AQ38="2",BI38,0)</f>
        <v>0</v>
      </c>
      <c r="AH38" s="420">
        <f>IF(AQ38="0",BJ38,0)</f>
        <v>0</v>
      </c>
      <c r="AI38" s="408" t="s">
        <v>654</v>
      </c>
      <c r="AJ38" s="420">
        <f>IF(AN38=0,K38,0)</f>
        <v>0</v>
      </c>
      <c r="AK38" s="420">
        <f>IF(AN38=15,K38,0)</f>
        <v>0</v>
      </c>
      <c r="AL38" s="420">
        <f>IF(AN38=21,K38,0)</f>
        <v>0</v>
      </c>
      <c r="AN38" s="420">
        <v>21</v>
      </c>
      <c r="AO38" s="420">
        <f>H38*0</f>
        <v>0</v>
      </c>
      <c r="AP38" s="420">
        <f>H38*(1-0)</f>
        <v>0</v>
      </c>
      <c r="AQ38" s="422" t="s">
        <v>657</v>
      </c>
      <c r="AV38" s="420">
        <f>AW38+AX38</f>
        <v>0</v>
      </c>
      <c r="AW38" s="420">
        <f>G38*AO38</f>
        <v>0</v>
      </c>
      <c r="AX38" s="420">
        <f>G38*AP38</f>
        <v>0</v>
      </c>
      <c r="AY38" s="422" t="s">
        <v>716</v>
      </c>
      <c r="AZ38" s="422" t="s">
        <v>670</v>
      </c>
      <c r="BA38" s="408" t="s">
        <v>662</v>
      </c>
      <c r="BC38" s="420">
        <f>AW38+AX38</f>
        <v>0</v>
      </c>
      <c r="BD38" s="420">
        <f>H38/(100-BE38)*100</f>
        <v>0</v>
      </c>
      <c r="BE38" s="420">
        <v>0</v>
      </c>
      <c r="BF38" s="420">
        <f>M38</f>
        <v>0</v>
      </c>
      <c r="BH38" s="420">
        <f>G38*AO38</f>
        <v>0</v>
      </c>
      <c r="BI38" s="420">
        <f>G38*AP38</f>
        <v>0</v>
      </c>
      <c r="BJ38" s="420">
        <f>G38*H38</f>
        <v>0</v>
      </c>
      <c r="BK38" s="420"/>
      <c r="BL38" s="420">
        <v>15</v>
      </c>
    </row>
    <row r="39" spans="1:64" ht="15" customHeight="1">
      <c r="A39" s="423"/>
      <c r="D39" s="424" t="s">
        <v>666</v>
      </c>
      <c r="E39" s="424" t="s">
        <v>654</v>
      </c>
      <c r="G39" s="425">
        <v>2</v>
      </c>
      <c r="N39" s="426"/>
    </row>
    <row r="40" spans="1:64" ht="15" customHeight="1">
      <c r="A40" s="401" t="s">
        <v>689</v>
      </c>
      <c r="B40" s="402" t="s">
        <v>654</v>
      </c>
      <c r="C40" s="402" t="s">
        <v>1103</v>
      </c>
      <c r="D40" s="440" t="s">
        <v>1104</v>
      </c>
      <c r="E40" s="440"/>
      <c r="F40" s="402" t="s">
        <v>14</v>
      </c>
      <c r="G40" s="420">
        <v>2</v>
      </c>
      <c r="H40" s="420"/>
      <c r="I40" s="420">
        <f>G40*AO40</f>
        <v>0</v>
      </c>
      <c r="J40" s="420">
        <f>G40*AP40</f>
        <v>0</v>
      </c>
      <c r="K40" s="420">
        <f>G40*H40</f>
        <v>0</v>
      </c>
      <c r="L40" s="420">
        <v>0</v>
      </c>
      <c r="M40" s="420">
        <f>G40*L40</f>
        <v>0</v>
      </c>
      <c r="N40" s="421" t="s">
        <v>1358</v>
      </c>
      <c r="Z40" s="420">
        <f>IF(AQ40="5",BJ40,0)</f>
        <v>0</v>
      </c>
      <c r="AB40" s="420">
        <f>IF(AQ40="1",BH40,0)</f>
        <v>0</v>
      </c>
      <c r="AC40" s="420">
        <f>IF(AQ40="1",BI40,0)</f>
        <v>0</v>
      </c>
      <c r="AD40" s="420">
        <f>IF(AQ40="7",BH40,0)</f>
        <v>0</v>
      </c>
      <c r="AE40" s="420">
        <f>IF(AQ40="7",BI40,0)</f>
        <v>0</v>
      </c>
      <c r="AF40" s="420">
        <f>IF(AQ40="2",BH40,0)</f>
        <v>0</v>
      </c>
      <c r="AG40" s="420">
        <f>IF(AQ40="2",BI40,0)</f>
        <v>0</v>
      </c>
      <c r="AH40" s="420">
        <f>IF(AQ40="0",BJ40,0)</f>
        <v>0</v>
      </c>
      <c r="AI40" s="408" t="s">
        <v>654</v>
      </c>
      <c r="AJ40" s="420">
        <f>IF(AN40=0,K40,0)</f>
        <v>0</v>
      </c>
      <c r="AK40" s="420">
        <f>IF(AN40=15,K40,0)</f>
        <v>0</v>
      </c>
      <c r="AL40" s="420">
        <f>IF(AN40=21,K40,0)</f>
        <v>0</v>
      </c>
      <c r="AN40" s="420">
        <v>21</v>
      </c>
      <c r="AO40" s="420">
        <f>H40*0</f>
        <v>0</v>
      </c>
      <c r="AP40" s="420">
        <f>H40*(1-0)</f>
        <v>0</v>
      </c>
      <c r="AQ40" s="422" t="s">
        <v>657</v>
      </c>
      <c r="AV40" s="420">
        <f>AW40+AX40</f>
        <v>0</v>
      </c>
      <c r="AW40" s="420">
        <f>G40*AO40</f>
        <v>0</v>
      </c>
      <c r="AX40" s="420">
        <f>G40*AP40</f>
        <v>0</v>
      </c>
      <c r="AY40" s="422" t="s">
        <v>716</v>
      </c>
      <c r="AZ40" s="422" t="s">
        <v>670</v>
      </c>
      <c r="BA40" s="408" t="s">
        <v>662</v>
      </c>
      <c r="BC40" s="420">
        <f>AW40+AX40</f>
        <v>0</v>
      </c>
      <c r="BD40" s="420">
        <f>H40/(100-BE40)*100</f>
        <v>0</v>
      </c>
      <c r="BE40" s="420">
        <v>0</v>
      </c>
      <c r="BF40" s="420">
        <f>M40</f>
        <v>0</v>
      </c>
      <c r="BH40" s="420">
        <f>G40*AO40</f>
        <v>0</v>
      </c>
      <c r="BI40" s="420">
        <f>G40*AP40</f>
        <v>0</v>
      </c>
      <c r="BJ40" s="420">
        <f>G40*H40</f>
        <v>0</v>
      </c>
      <c r="BK40" s="420"/>
      <c r="BL40" s="420">
        <v>15</v>
      </c>
    </row>
    <row r="41" spans="1:64" ht="15" customHeight="1">
      <c r="A41" s="423"/>
      <c r="D41" s="424" t="s">
        <v>666</v>
      </c>
      <c r="E41" s="424" t="s">
        <v>654</v>
      </c>
      <c r="G41" s="425">
        <v>2</v>
      </c>
      <c r="N41" s="426"/>
    </row>
    <row r="42" spans="1:64" ht="15" customHeight="1">
      <c r="A42" s="401" t="s">
        <v>717</v>
      </c>
      <c r="B42" s="402" t="s">
        <v>654</v>
      </c>
      <c r="C42" s="402" t="s">
        <v>1105</v>
      </c>
      <c r="D42" s="440" t="s">
        <v>1106</v>
      </c>
      <c r="E42" s="440"/>
      <c r="F42" s="402" t="s">
        <v>722</v>
      </c>
      <c r="G42" s="420">
        <v>30</v>
      </c>
      <c r="H42" s="420"/>
      <c r="I42" s="420">
        <f>G42*AO42</f>
        <v>0</v>
      </c>
      <c r="J42" s="420">
        <f>G42*AP42</f>
        <v>0</v>
      </c>
      <c r="K42" s="420">
        <f>G42*H42</f>
        <v>0</v>
      </c>
      <c r="L42" s="420">
        <v>0</v>
      </c>
      <c r="M42" s="420">
        <f>G42*L42</f>
        <v>0</v>
      </c>
      <c r="N42" s="421" t="s">
        <v>1358</v>
      </c>
      <c r="Z42" s="420">
        <f>IF(AQ42="5",BJ42,0)</f>
        <v>0</v>
      </c>
      <c r="AB42" s="420">
        <f>IF(AQ42="1",BH42,0)</f>
        <v>0</v>
      </c>
      <c r="AC42" s="420">
        <f>IF(AQ42="1",BI42,0)</f>
        <v>0</v>
      </c>
      <c r="AD42" s="420">
        <f>IF(AQ42="7",BH42,0)</f>
        <v>0</v>
      </c>
      <c r="AE42" s="420">
        <f>IF(AQ42="7",BI42,0)</f>
        <v>0</v>
      </c>
      <c r="AF42" s="420">
        <f>IF(AQ42="2",BH42,0)</f>
        <v>0</v>
      </c>
      <c r="AG42" s="420">
        <f>IF(AQ42="2",BI42,0)</f>
        <v>0</v>
      </c>
      <c r="AH42" s="420">
        <f>IF(AQ42="0",BJ42,0)</f>
        <v>0</v>
      </c>
      <c r="AI42" s="408" t="s">
        <v>654</v>
      </c>
      <c r="AJ42" s="420">
        <f>IF(AN42=0,K42,0)</f>
        <v>0</v>
      </c>
      <c r="AK42" s="420">
        <f>IF(AN42=15,K42,0)</f>
        <v>0</v>
      </c>
      <c r="AL42" s="420">
        <f>IF(AN42=21,K42,0)</f>
        <v>0</v>
      </c>
      <c r="AN42" s="420">
        <v>21</v>
      </c>
      <c r="AO42" s="420">
        <f>H42*0</f>
        <v>0</v>
      </c>
      <c r="AP42" s="420">
        <f>H42*(1-0)</f>
        <v>0</v>
      </c>
      <c r="AQ42" s="422" t="s">
        <v>657</v>
      </c>
      <c r="AV42" s="420">
        <f>AW42+AX42</f>
        <v>0</v>
      </c>
      <c r="AW42" s="420">
        <f>G42*AO42</f>
        <v>0</v>
      </c>
      <c r="AX42" s="420">
        <f>G42*AP42</f>
        <v>0</v>
      </c>
      <c r="AY42" s="422" t="s">
        <v>716</v>
      </c>
      <c r="AZ42" s="422" t="s">
        <v>670</v>
      </c>
      <c r="BA42" s="408" t="s">
        <v>662</v>
      </c>
      <c r="BC42" s="420">
        <f>AW42+AX42</f>
        <v>0</v>
      </c>
      <c r="BD42" s="420">
        <f>H42/(100-BE42)*100</f>
        <v>0</v>
      </c>
      <c r="BE42" s="420">
        <v>0</v>
      </c>
      <c r="BF42" s="420">
        <f>M42</f>
        <v>0</v>
      </c>
      <c r="BH42" s="420">
        <f>G42*AO42</f>
        <v>0</v>
      </c>
      <c r="BI42" s="420">
        <f>G42*AP42</f>
        <v>0</v>
      </c>
      <c r="BJ42" s="420">
        <f>G42*H42</f>
        <v>0</v>
      </c>
      <c r="BK42" s="420"/>
      <c r="BL42" s="420">
        <v>15</v>
      </c>
    </row>
    <row r="43" spans="1:64" ht="15" customHeight="1">
      <c r="A43" s="423"/>
      <c r="D43" s="424" t="s">
        <v>779</v>
      </c>
      <c r="E43" s="424" t="s">
        <v>654</v>
      </c>
      <c r="G43" s="425">
        <v>30.000000000000004</v>
      </c>
      <c r="N43" s="426"/>
    </row>
    <row r="44" spans="1:64" ht="15" customHeight="1">
      <c r="A44" s="401" t="s">
        <v>712</v>
      </c>
      <c r="B44" s="402" t="s">
        <v>654</v>
      </c>
      <c r="C44" s="402" t="s">
        <v>724</v>
      </c>
      <c r="D44" s="440" t="s">
        <v>725</v>
      </c>
      <c r="E44" s="440"/>
      <c r="F44" s="402" t="s">
        <v>40</v>
      </c>
      <c r="G44" s="420">
        <v>396.54599999999999</v>
      </c>
      <c r="H44" s="420"/>
      <c r="I44" s="420">
        <f>G44*AO44</f>
        <v>0</v>
      </c>
      <c r="J44" s="420">
        <f>G44*AP44</f>
        <v>0</v>
      </c>
      <c r="K44" s="420">
        <f>G44*H44</f>
        <v>0</v>
      </c>
      <c r="L44" s="420">
        <v>9.8999999999999999E-4</v>
      </c>
      <c r="M44" s="420">
        <f>G44*L44</f>
        <v>0.39258053999999998</v>
      </c>
      <c r="N44" s="421" t="s">
        <v>1358</v>
      </c>
      <c r="Z44" s="420">
        <f>IF(AQ44="5",BJ44,0)</f>
        <v>0</v>
      </c>
      <c r="AB44" s="420">
        <f>IF(AQ44="1",BH44,0)</f>
        <v>0</v>
      </c>
      <c r="AC44" s="420">
        <f>IF(AQ44="1",BI44,0)</f>
        <v>0</v>
      </c>
      <c r="AD44" s="420">
        <f>IF(AQ44="7",BH44,0)</f>
        <v>0</v>
      </c>
      <c r="AE44" s="420">
        <f>IF(AQ44="7",BI44,0)</f>
        <v>0</v>
      </c>
      <c r="AF44" s="420">
        <f>IF(AQ44="2",BH44,0)</f>
        <v>0</v>
      </c>
      <c r="AG44" s="420">
        <f>IF(AQ44="2",BI44,0)</f>
        <v>0</v>
      </c>
      <c r="AH44" s="420">
        <f>IF(AQ44="0",BJ44,0)</f>
        <v>0</v>
      </c>
      <c r="AI44" s="408" t="s">
        <v>654</v>
      </c>
      <c r="AJ44" s="420">
        <f>IF(AN44=0,K44,0)</f>
        <v>0</v>
      </c>
      <c r="AK44" s="420">
        <f>IF(AN44=15,K44,0)</f>
        <v>0</v>
      </c>
      <c r="AL44" s="420">
        <f>IF(AN44=21,K44,0)</f>
        <v>0</v>
      </c>
      <c r="AN44" s="420">
        <v>21</v>
      </c>
      <c r="AO44" s="420">
        <f>H44*0.0932214828210377</f>
        <v>0</v>
      </c>
      <c r="AP44" s="420">
        <f>H44*(1-0.0932214828210377)</f>
        <v>0</v>
      </c>
      <c r="AQ44" s="422" t="s">
        <v>657</v>
      </c>
      <c r="AV44" s="420">
        <f>AW44+AX44</f>
        <v>0</v>
      </c>
      <c r="AW44" s="420">
        <f>G44*AO44</f>
        <v>0</v>
      </c>
      <c r="AX44" s="420">
        <f>G44*AP44</f>
        <v>0</v>
      </c>
      <c r="AY44" s="422" t="s">
        <v>716</v>
      </c>
      <c r="AZ44" s="422" t="s">
        <v>670</v>
      </c>
      <c r="BA44" s="408" t="s">
        <v>662</v>
      </c>
      <c r="BC44" s="420">
        <f>AW44+AX44</f>
        <v>0</v>
      </c>
      <c r="BD44" s="420">
        <f>H44/(100-BE44)*100</f>
        <v>0</v>
      </c>
      <c r="BE44" s="420">
        <v>0</v>
      </c>
      <c r="BF44" s="420">
        <f>M44</f>
        <v>0.39258053999999998</v>
      </c>
      <c r="BH44" s="420">
        <f>G44*AO44</f>
        <v>0</v>
      </c>
      <c r="BI44" s="420">
        <f>G44*AP44</f>
        <v>0</v>
      </c>
      <c r="BJ44" s="420">
        <f>G44*H44</f>
        <v>0</v>
      </c>
      <c r="BK44" s="420"/>
      <c r="BL44" s="420">
        <v>15</v>
      </c>
    </row>
    <row r="45" spans="1:64" ht="15" customHeight="1">
      <c r="A45" s="423"/>
      <c r="D45" s="424" t="s">
        <v>1107</v>
      </c>
      <c r="E45" s="424" t="s">
        <v>654</v>
      </c>
      <c r="G45" s="425">
        <v>396.54600000000005</v>
      </c>
      <c r="N45" s="426"/>
    </row>
    <row r="46" spans="1:64" ht="15" customHeight="1">
      <c r="A46" s="401" t="s">
        <v>723</v>
      </c>
      <c r="B46" s="402" t="s">
        <v>654</v>
      </c>
      <c r="C46" s="402" t="s">
        <v>728</v>
      </c>
      <c r="D46" s="440" t="s">
        <v>729</v>
      </c>
      <c r="E46" s="440"/>
      <c r="F46" s="402" t="s">
        <v>40</v>
      </c>
      <c r="G46" s="420">
        <v>396.54599999999999</v>
      </c>
      <c r="H46" s="420"/>
      <c r="I46" s="420">
        <f>G46*AO46</f>
        <v>0</v>
      </c>
      <c r="J46" s="420">
        <f>G46*AP46</f>
        <v>0</v>
      </c>
      <c r="K46" s="420">
        <f>G46*H46</f>
        <v>0</v>
      </c>
      <c r="L46" s="420">
        <v>0</v>
      </c>
      <c r="M46" s="420">
        <f>G46*L46</f>
        <v>0</v>
      </c>
      <c r="N46" s="421" t="s">
        <v>1358</v>
      </c>
      <c r="Z46" s="420">
        <f>IF(AQ46="5",BJ46,0)</f>
        <v>0</v>
      </c>
      <c r="AB46" s="420">
        <f>IF(AQ46="1",BH46,0)</f>
        <v>0</v>
      </c>
      <c r="AC46" s="420">
        <f>IF(AQ46="1",BI46,0)</f>
        <v>0</v>
      </c>
      <c r="AD46" s="420">
        <f>IF(AQ46="7",BH46,0)</f>
        <v>0</v>
      </c>
      <c r="AE46" s="420">
        <f>IF(AQ46="7",BI46,0)</f>
        <v>0</v>
      </c>
      <c r="AF46" s="420">
        <f>IF(AQ46="2",BH46,0)</f>
        <v>0</v>
      </c>
      <c r="AG46" s="420">
        <f>IF(AQ46="2",BI46,0)</f>
        <v>0</v>
      </c>
      <c r="AH46" s="420">
        <f>IF(AQ46="0",BJ46,0)</f>
        <v>0</v>
      </c>
      <c r="AI46" s="408" t="s">
        <v>654</v>
      </c>
      <c r="AJ46" s="420">
        <f>IF(AN46=0,K46,0)</f>
        <v>0</v>
      </c>
      <c r="AK46" s="420">
        <f>IF(AN46=15,K46,0)</f>
        <v>0</v>
      </c>
      <c r="AL46" s="420">
        <f>IF(AN46=21,K46,0)</f>
        <v>0</v>
      </c>
      <c r="AN46" s="420">
        <v>21</v>
      </c>
      <c r="AO46" s="420">
        <f>H46*0</f>
        <v>0</v>
      </c>
      <c r="AP46" s="420">
        <f>H46*(1-0)</f>
        <v>0</v>
      </c>
      <c r="AQ46" s="422" t="s">
        <v>657</v>
      </c>
      <c r="AV46" s="420">
        <f>AW46+AX46</f>
        <v>0</v>
      </c>
      <c r="AW46" s="420">
        <f>G46*AO46</f>
        <v>0</v>
      </c>
      <c r="AX46" s="420">
        <f>G46*AP46</f>
        <v>0</v>
      </c>
      <c r="AY46" s="422" t="s">
        <v>716</v>
      </c>
      <c r="AZ46" s="422" t="s">
        <v>670</v>
      </c>
      <c r="BA46" s="408" t="s">
        <v>662</v>
      </c>
      <c r="BC46" s="420">
        <f>AW46+AX46</f>
        <v>0</v>
      </c>
      <c r="BD46" s="420">
        <f>H46/(100-BE46)*100</f>
        <v>0</v>
      </c>
      <c r="BE46" s="420">
        <v>0</v>
      </c>
      <c r="BF46" s="420">
        <f>M46</f>
        <v>0</v>
      </c>
      <c r="BH46" s="420">
        <f>G46*AO46</f>
        <v>0</v>
      </c>
      <c r="BI46" s="420">
        <f>G46*AP46</f>
        <v>0</v>
      </c>
      <c r="BJ46" s="420">
        <f>G46*H46</f>
        <v>0</v>
      </c>
      <c r="BK46" s="420"/>
      <c r="BL46" s="420">
        <v>15</v>
      </c>
    </row>
    <row r="47" spans="1:64" ht="15" customHeight="1">
      <c r="A47" s="423"/>
      <c r="D47" s="424" t="s">
        <v>1108</v>
      </c>
      <c r="E47" s="424" t="s">
        <v>654</v>
      </c>
      <c r="G47" s="425">
        <v>396.54600000000005</v>
      </c>
      <c r="N47" s="426"/>
    </row>
    <row r="48" spans="1:64" ht="15" customHeight="1">
      <c r="A48" s="401" t="s">
        <v>727</v>
      </c>
      <c r="B48" s="402" t="s">
        <v>654</v>
      </c>
      <c r="C48" s="402" t="s">
        <v>1109</v>
      </c>
      <c r="D48" s="440" t="s">
        <v>1110</v>
      </c>
      <c r="E48" s="440"/>
      <c r="F48" s="402" t="s">
        <v>40</v>
      </c>
      <c r="G48" s="420">
        <v>5.8</v>
      </c>
      <c r="H48" s="420"/>
      <c r="I48" s="420">
        <f>G48*AO48</f>
        <v>0</v>
      </c>
      <c r="J48" s="420">
        <f>G48*AP48</f>
        <v>0</v>
      </c>
      <c r="K48" s="420">
        <f>G48*H48</f>
        <v>0</v>
      </c>
      <c r="L48" s="420">
        <v>8.5999999999999998E-4</v>
      </c>
      <c r="M48" s="420">
        <f>G48*L48</f>
        <v>4.9879999999999994E-3</v>
      </c>
      <c r="N48" s="421" t="s">
        <v>1358</v>
      </c>
      <c r="Z48" s="420">
        <f>IF(AQ48="5",BJ48,0)</f>
        <v>0</v>
      </c>
      <c r="AB48" s="420">
        <f>IF(AQ48="1",BH48,0)</f>
        <v>0</v>
      </c>
      <c r="AC48" s="420">
        <f>IF(AQ48="1",BI48,0)</f>
        <v>0</v>
      </c>
      <c r="AD48" s="420">
        <f>IF(AQ48="7",BH48,0)</f>
        <v>0</v>
      </c>
      <c r="AE48" s="420">
        <f>IF(AQ48="7",BI48,0)</f>
        <v>0</v>
      </c>
      <c r="AF48" s="420">
        <f>IF(AQ48="2",BH48,0)</f>
        <v>0</v>
      </c>
      <c r="AG48" s="420">
        <f>IF(AQ48="2",BI48,0)</f>
        <v>0</v>
      </c>
      <c r="AH48" s="420">
        <f>IF(AQ48="0",BJ48,0)</f>
        <v>0</v>
      </c>
      <c r="AI48" s="408" t="s">
        <v>654</v>
      </c>
      <c r="AJ48" s="420">
        <f>IF(AN48=0,K48,0)</f>
        <v>0</v>
      </c>
      <c r="AK48" s="420">
        <f>IF(AN48=15,K48,0)</f>
        <v>0</v>
      </c>
      <c r="AL48" s="420">
        <f>IF(AN48=21,K48,0)</f>
        <v>0</v>
      </c>
      <c r="AN48" s="420">
        <v>21</v>
      </c>
      <c r="AO48" s="420">
        <f>H48*0.0997231833910035</f>
        <v>0</v>
      </c>
      <c r="AP48" s="420">
        <f>H48*(1-0.0997231833910035)</f>
        <v>0</v>
      </c>
      <c r="AQ48" s="422" t="s">
        <v>657</v>
      </c>
      <c r="AV48" s="420">
        <f>AW48+AX48</f>
        <v>0</v>
      </c>
      <c r="AW48" s="420">
        <f>G48*AO48</f>
        <v>0</v>
      </c>
      <c r="AX48" s="420">
        <f>G48*AP48</f>
        <v>0</v>
      </c>
      <c r="AY48" s="422" t="s">
        <v>716</v>
      </c>
      <c r="AZ48" s="422" t="s">
        <v>670</v>
      </c>
      <c r="BA48" s="408" t="s">
        <v>662</v>
      </c>
      <c r="BC48" s="420">
        <f>AW48+AX48</f>
        <v>0</v>
      </c>
      <c r="BD48" s="420">
        <f>H48/(100-BE48)*100</f>
        <v>0</v>
      </c>
      <c r="BE48" s="420">
        <v>0</v>
      </c>
      <c r="BF48" s="420">
        <f>M48</f>
        <v>4.9879999999999994E-3</v>
      </c>
      <c r="BH48" s="420">
        <f>G48*AO48</f>
        <v>0</v>
      </c>
      <c r="BI48" s="420">
        <f>G48*AP48</f>
        <v>0</v>
      </c>
      <c r="BJ48" s="420">
        <f>G48*H48</f>
        <v>0</v>
      </c>
      <c r="BK48" s="420"/>
      <c r="BL48" s="420">
        <v>15</v>
      </c>
    </row>
    <row r="49" spans="1:64" ht="15" customHeight="1">
      <c r="A49" s="423"/>
      <c r="D49" s="424" t="s">
        <v>1111</v>
      </c>
      <c r="E49" s="424" t="s">
        <v>654</v>
      </c>
      <c r="G49" s="425">
        <v>5.8000000000000007</v>
      </c>
      <c r="N49" s="426"/>
    </row>
    <row r="50" spans="1:64" ht="15" customHeight="1">
      <c r="A50" s="401" t="s">
        <v>731</v>
      </c>
      <c r="B50" s="402" t="s">
        <v>654</v>
      </c>
      <c r="C50" s="402" t="s">
        <v>1112</v>
      </c>
      <c r="D50" s="440" t="s">
        <v>1113</v>
      </c>
      <c r="E50" s="440"/>
      <c r="F50" s="402" t="s">
        <v>40</v>
      </c>
      <c r="G50" s="420">
        <v>5.8</v>
      </c>
      <c r="H50" s="420"/>
      <c r="I50" s="420">
        <f>G50*AO50</f>
        <v>0</v>
      </c>
      <c r="J50" s="420">
        <f>G50*AP50</f>
        <v>0</v>
      </c>
      <c r="K50" s="420">
        <f>G50*H50</f>
        <v>0</v>
      </c>
      <c r="L50" s="420">
        <v>0</v>
      </c>
      <c r="M50" s="420">
        <f>G50*L50</f>
        <v>0</v>
      </c>
      <c r="N50" s="421" t="s">
        <v>1358</v>
      </c>
      <c r="Z50" s="420">
        <f>IF(AQ50="5",BJ50,0)</f>
        <v>0</v>
      </c>
      <c r="AB50" s="420">
        <f>IF(AQ50="1",BH50,0)</f>
        <v>0</v>
      </c>
      <c r="AC50" s="420">
        <f>IF(AQ50="1",BI50,0)</f>
        <v>0</v>
      </c>
      <c r="AD50" s="420">
        <f>IF(AQ50="7",BH50,0)</f>
        <v>0</v>
      </c>
      <c r="AE50" s="420">
        <f>IF(AQ50="7",BI50,0)</f>
        <v>0</v>
      </c>
      <c r="AF50" s="420">
        <f>IF(AQ50="2",BH50,0)</f>
        <v>0</v>
      </c>
      <c r="AG50" s="420">
        <f>IF(AQ50="2",BI50,0)</f>
        <v>0</v>
      </c>
      <c r="AH50" s="420">
        <f>IF(AQ50="0",BJ50,0)</f>
        <v>0</v>
      </c>
      <c r="AI50" s="408" t="s">
        <v>654</v>
      </c>
      <c r="AJ50" s="420">
        <f>IF(AN50=0,K50,0)</f>
        <v>0</v>
      </c>
      <c r="AK50" s="420">
        <f>IF(AN50=15,K50,0)</f>
        <v>0</v>
      </c>
      <c r="AL50" s="420">
        <f>IF(AN50=21,K50,0)</f>
        <v>0</v>
      </c>
      <c r="AN50" s="420">
        <v>21</v>
      </c>
      <c r="AO50" s="420">
        <f>H50*0</f>
        <v>0</v>
      </c>
      <c r="AP50" s="420">
        <f>H50*(1-0)</f>
        <v>0</v>
      </c>
      <c r="AQ50" s="422" t="s">
        <v>657</v>
      </c>
      <c r="AV50" s="420">
        <f>AW50+AX50</f>
        <v>0</v>
      </c>
      <c r="AW50" s="420">
        <f>G50*AO50</f>
        <v>0</v>
      </c>
      <c r="AX50" s="420">
        <f>G50*AP50</f>
        <v>0</v>
      </c>
      <c r="AY50" s="422" t="s">
        <v>716</v>
      </c>
      <c r="AZ50" s="422" t="s">
        <v>670</v>
      </c>
      <c r="BA50" s="408" t="s">
        <v>662</v>
      </c>
      <c r="BC50" s="420">
        <f>AW50+AX50</f>
        <v>0</v>
      </c>
      <c r="BD50" s="420">
        <f>H50/(100-BE50)*100</f>
        <v>0</v>
      </c>
      <c r="BE50" s="420">
        <v>0</v>
      </c>
      <c r="BF50" s="420">
        <f>M50</f>
        <v>0</v>
      </c>
      <c r="BH50" s="420">
        <f>G50*AO50</f>
        <v>0</v>
      </c>
      <c r="BI50" s="420">
        <f>G50*AP50</f>
        <v>0</v>
      </c>
      <c r="BJ50" s="420">
        <f>G50*H50</f>
        <v>0</v>
      </c>
      <c r="BK50" s="420"/>
      <c r="BL50" s="420">
        <v>15</v>
      </c>
    </row>
    <row r="51" spans="1:64" ht="15" customHeight="1">
      <c r="A51" s="423"/>
      <c r="D51" s="424" t="s">
        <v>1114</v>
      </c>
      <c r="E51" s="424" t="s">
        <v>654</v>
      </c>
      <c r="G51" s="425">
        <v>5.8000000000000007</v>
      </c>
      <c r="N51" s="426"/>
    </row>
    <row r="52" spans="1:64" ht="15" customHeight="1">
      <c r="A52" s="416" t="s">
        <v>654</v>
      </c>
      <c r="B52" s="417" t="s">
        <v>654</v>
      </c>
      <c r="C52" s="417" t="s">
        <v>723</v>
      </c>
      <c r="D52" s="455" t="s">
        <v>730</v>
      </c>
      <c r="E52" s="455"/>
      <c r="F52" s="418" t="s">
        <v>608</v>
      </c>
      <c r="G52" s="418" t="s">
        <v>608</v>
      </c>
      <c r="H52" s="418"/>
      <c r="I52" s="400">
        <f>SUM(I53:I75)</f>
        <v>0</v>
      </c>
      <c r="J52" s="400">
        <f>SUM(J53:J75)</f>
        <v>0</v>
      </c>
      <c r="K52" s="400">
        <f>SUM(K53:K75)</f>
        <v>0</v>
      </c>
      <c r="L52" s="408" t="s">
        <v>654</v>
      </c>
      <c r="M52" s="400">
        <f>SUM(M53:M75)</f>
        <v>0</v>
      </c>
      <c r="N52" s="419" t="s">
        <v>654</v>
      </c>
      <c r="AI52" s="408" t="s">
        <v>654</v>
      </c>
      <c r="AS52" s="400">
        <f>SUM(AJ53:AJ75)</f>
        <v>0</v>
      </c>
      <c r="AT52" s="400">
        <f>SUM(AK53:AK75)</f>
        <v>0</v>
      </c>
      <c r="AU52" s="400">
        <f>SUM(AL53:AL75)</f>
        <v>0</v>
      </c>
    </row>
    <row r="53" spans="1:64" ht="15" customHeight="1">
      <c r="A53" s="401" t="s">
        <v>736</v>
      </c>
      <c r="B53" s="402" t="s">
        <v>654</v>
      </c>
      <c r="C53" s="402" t="s">
        <v>732</v>
      </c>
      <c r="D53" s="440" t="s">
        <v>733</v>
      </c>
      <c r="E53" s="440"/>
      <c r="F53" s="402" t="s">
        <v>694</v>
      </c>
      <c r="G53" s="420">
        <v>78.143540000000002</v>
      </c>
      <c r="H53" s="420"/>
      <c r="I53" s="420">
        <f>G53*AO53</f>
        <v>0</v>
      </c>
      <c r="J53" s="420">
        <f>G53*AP53</f>
        <v>0</v>
      </c>
      <c r="K53" s="420">
        <f>G53*H53</f>
        <v>0</v>
      </c>
      <c r="L53" s="420">
        <v>0</v>
      </c>
      <c r="M53" s="420">
        <f>G53*L53</f>
        <v>0</v>
      </c>
      <c r="N53" s="421" t="s">
        <v>1358</v>
      </c>
      <c r="Z53" s="420">
        <f>IF(AQ53="5",BJ53,0)</f>
        <v>0</v>
      </c>
      <c r="AB53" s="420">
        <f>IF(AQ53="1",BH53,0)</f>
        <v>0</v>
      </c>
      <c r="AC53" s="420">
        <f>IF(AQ53="1",BI53,0)</f>
        <v>0</v>
      </c>
      <c r="AD53" s="420">
        <f>IF(AQ53="7",BH53,0)</f>
        <v>0</v>
      </c>
      <c r="AE53" s="420">
        <f>IF(AQ53="7",BI53,0)</f>
        <v>0</v>
      </c>
      <c r="AF53" s="420">
        <f>IF(AQ53="2",BH53,0)</f>
        <v>0</v>
      </c>
      <c r="AG53" s="420">
        <f>IF(AQ53="2",BI53,0)</f>
        <v>0</v>
      </c>
      <c r="AH53" s="420">
        <f>IF(AQ53="0",BJ53,0)</f>
        <v>0</v>
      </c>
      <c r="AI53" s="408" t="s">
        <v>654</v>
      </c>
      <c r="AJ53" s="420">
        <f>IF(AN53=0,K53,0)</f>
        <v>0</v>
      </c>
      <c r="AK53" s="420">
        <f>IF(AN53=15,K53,0)</f>
        <v>0</v>
      </c>
      <c r="AL53" s="420">
        <f>IF(AN53=21,K53,0)</f>
        <v>0</v>
      </c>
      <c r="AN53" s="420">
        <v>21</v>
      </c>
      <c r="AO53" s="420">
        <f>H53*0</f>
        <v>0</v>
      </c>
      <c r="AP53" s="420">
        <f>H53*(1-0)</f>
        <v>0</v>
      </c>
      <c r="AQ53" s="422" t="s">
        <v>657</v>
      </c>
      <c r="AV53" s="420">
        <f>AW53+AX53</f>
        <v>0</v>
      </c>
      <c r="AW53" s="420">
        <f>G53*AO53</f>
        <v>0</v>
      </c>
      <c r="AX53" s="420">
        <f>G53*AP53</f>
        <v>0</v>
      </c>
      <c r="AY53" s="422" t="s">
        <v>734</v>
      </c>
      <c r="AZ53" s="422" t="s">
        <v>670</v>
      </c>
      <c r="BA53" s="408" t="s">
        <v>662</v>
      </c>
      <c r="BC53" s="420">
        <f>AW53+AX53</f>
        <v>0</v>
      </c>
      <c r="BD53" s="420">
        <f>H53/(100-BE53)*100</f>
        <v>0</v>
      </c>
      <c r="BE53" s="420">
        <v>0</v>
      </c>
      <c r="BF53" s="420">
        <f>M53</f>
        <v>0</v>
      </c>
      <c r="BH53" s="420">
        <f>G53*AO53</f>
        <v>0</v>
      </c>
      <c r="BI53" s="420">
        <f>G53*AP53</f>
        <v>0</v>
      </c>
      <c r="BJ53" s="420">
        <f>G53*H53</f>
        <v>0</v>
      </c>
      <c r="BK53" s="420"/>
      <c r="BL53" s="420">
        <v>16</v>
      </c>
    </row>
    <row r="54" spans="1:64" ht="15" customHeight="1">
      <c r="A54" s="423"/>
      <c r="D54" s="424" t="s">
        <v>1115</v>
      </c>
      <c r="E54" s="424" t="s">
        <v>654</v>
      </c>
      <c r="G54" s="425">
        <v>76.257500000000007</v>
      </c>
      <c r="N54" s="426"/>
    </row>
    <row r="55" spans="1:64" ht="15" customHeight="1">
      <c r="A55" s="423"/>
      <c r="D55" s="424" t="s">
        <v>1116</v>
      </c>
      <c r="E55" s="424" t="s">
        <v>654</v>
      </c>
      <c r="G55" s="425">
        <v>1.8860400000000002</v>
      </c>
      <c r="N55" s="426"/>
    </row>
    <row r="56" spans="1:64" ht="15" customHeight="1">
      <c r="A56" s="401" t="s">
        <v>739</v>
      </c>
      <c r="B56" s="402" t="s">
        <v>654</v>
      </c>
      <c r="C56" s="402" t="s">
        <v>737</v>
      </c>
      <c r="D56" s="440" t="s">
        <v>738</v>
      </c>
      <c r="E56" s="440"/>
      <c r="F56" s="402" t="s">
        <v>694</v>
      </c>
      <c r="G56" s="420">
        <v>213.584</v>
      </c>
      <c r="H56" s="420"/>
      <c r="I56" s="420">
        <f>G56*AO56</f>
        <v>0</v>
      </c>
      <c r="J56" s="420">
        <f>G56*AP56</f>
        <v>0</v>
      </c>
      <c r="K56" s="420">
        <f>G56*H56</f>
        <v>0</v>
      </c>
      <c r="L56" s="420">
        <v>0</v>
      </c>
      <c r="M56" s="420">
        <f>G56*L56</f>
        <v>0</v>
      </c>
      <c r="N56" s="421" t="s">
        <v>1358</v>
      </c>
      <c r="Z56" s="420">
        <f>IF(AQ56="5",BJ56,0)</f>
        <v>0</v>
      </c>
      <c r="AB56" s="420">
        <f>IF(AQ56="1",BH56,0)</f>
        <v>0</v>
      </c>
      <c r="AC56" s="420">
        <f>IF(AQ56="1",BI56,0)</f>
        <v>0</v>
      </c>
      <c r="AD56" s="420">
        <f>IF(AQ56="7",BH56,0)</f>
        <v>0</v>
      </c>
      <c r="AE56" s="420">
        <f>IF(AQ56="7",BI56,0)</f>
        <v>0</v>
      </c>
      <c r="AF56" s="420">
        <f>IF(AQ56="2",BH56,0)</f>
        <v>0</v>
      </c>
      <c r="AG56" s="420">
        <f>IF(AQ56="2",BI56,0)</f>
        <v>0</v>
      </c>
      <c r="AH56" s="420">
        <f>IF(AQ56="0",BJ56,0)</f>
        <v>0</v>
      </c>
      <c r="AI56" s="408" t="s">
        <v>654</v>
      </c>
      <c r="AJ56" s="420">
        <f>IF(AN56=0,K56,0)</f>
        <v>0</v>
      </c>
      <c r="AK56" s="420">
        <f>IF(AN56=15,K56,0)</f>
        <v>0</v>
      </c>
      <c r="AL56" s="420">
        <f>IF(AN56=21,K56,0)</f>
        <v>0</v>
      </c>
      <c r="AN56" s="420">
        <v>21</v>
      </c>
      <c r="AO56" s="420">
        <f>H56*0</f>
        <v>0</v>
      </c>
      <c r="AP56" s="420">
        <f>H56*(1-0)</f>
        <v>0</v>
      </c>
      <c r="AQ56" s="422" t="s">
        <v>657</v>
      </c>
      <c r="AV56" s="420">
        <f>AW56+AX56</f>
        <v>0</v>
      </c>
      <c r="AW56" s="420">
        <f>G56*AO56</f>
        <v>0</v>
      </c>
      <c r="AX56" s="420">
        <f>G56*AP56</f>
        <v>0</v>
      </c>
      <c r="AY56" s="422" t="s">
        <v>734</v>
      </c>
      <c r="AZ56" s="422" t="s">
        <v>670</v>
      </c>
      <c r="BA56" s="408" t="s">
        <v>662</v>
      </c>
      <c r="BC56" s="420">
        <f>AW56+AX56</f>
        <v>0</v>
      </c>
      <c r="BD56" s="420">
        <f>H56/(100-BE56)*100</f>
        <v>0</v>
      </c>
      <c r="BE56" s="420">
        <v>0</v>
      </c>
      <c r="BF56" s="420">
        <f>M56</f>
        <v>0</v>
      </c>
      <c r="BH56" s="420">
        <f>G56*AO56</f>
        <v>0</v>
      </c>
      <c r="BI56" s="420">
        <f>G56*AP56</f>
        <v>0</v>
      </c>
      <c r="BJ56" s="420">
        <f>G56*H56</f>
        <v>0</v>
      </c>
      <c r="BK56" s="420"/>
      <c r="BL56" s="420">
        <v>16</v>
      </c>
    </row>
    <row r="57" spans="1:64" ht="15" customHeight="1">
      <c r="A57" s="423"/>
      <c r="D57" s="424" t="s">
        <v>1117</v>
      </c>
      <c r="E57" s="424" t="s">
        <v>654</v>
      </c>
      <c r="G57" s="425">
        <v>201.17300000000003</v>
      </c>
      <c r="N57" s="426"/>
    </row>
    <row r="58" spans="1:64" ht="15" customHeight="1">
      <c r="A58" s="423"/>
      <c r="D58" s="424" t="s">
        <v>1118</v>
      </c>
      <c r="E58" s="424" t="s">
        <v>654</v>
      </c>
      <c r="G58" s="425">
        <v>12.411000000000001</v>
      </c>
      <c r="N58" s="426"/>
    </row>
    <row r="59" spans="1:64" ht="15" customHeight="1">
      <c r="A59" s="401" t="s">
        <v>743</v>
      </c>
      <c r="B59" s="402" t="s">
        <v>654</v>
      </c>
      <c r="C59" s="402" t="s">
        <v>740</v>
      </c>
      <c r="D59" s="440" t="s">
        <v>741</v>
      </c>
      <c r="E59" s="440"/>
      <c r="F59" s="402" t="s">
        <v>694</v>
      </c>
      <c r="G59" s="420">
        <v>172.43326999999999</v>
      </c>
      <c r="H59" s="420"/>
      <c r="I59" s="420">
        <f>G59*AO59</f>
        <v>0</v>
      </c>
      <c r="J59" s="420">
        <f>G59*AP59</f>
        <v>0</v>
      </c>
      <c r="K59" s="420">
        <f>G59*H59</f>
        <v>0</v>
      </c>
      <c r="L59" s="420">
        <v>0</v>
      </c>
      <c r="M59" s="420">
        <f>G59*L59</f>
        <v>0</v>
      </c>
      <c r="N59" s="421" t="s">
        <v>1358</v>
      </c>
      <c r="Z59" s="420">
        <f>IF(AQ59="5",BJ59,0)</f>
        <v>0</v>
      </c>
      <c r="AB59" s="420">
        <f>IF(AQ59="1",BH59,0)</f>
        <v>0</v>
      </c>
      <c r="AC59" s="420">
        <f>IF(AQ59="1",BI59,0)</f>
        <v>0</v>
      </c>
      <c r="AD59" s="420">
        <f>IF(AQ59="7",BH59,0)</f>
        <v>0</v>
      </c>
      <c r="AE59" s="420">
        <f>IF(AQ59="7",BI59,0)</f>
        <v>0</v>
      </c>
      <c r="AF59" s="420">
        <f>IF(AQ59="2",BH59,0)</f>
        <v>0</v>
      </c>
      <c r="AG59" s="420">
        <f>IF(AQ59="2",BI59,0)</f>
        <v>0</v>
      </c>
      <c r="AH59" s="420">
        <f>IF(AQ59="0",BJ59,0)</f>
        <v>0</v>
      </c>
      <c r="AI59" s="408" t="s">
        <v>654</v>
      </c>
      <c r="AJ59" s="420">
        <f>IF(AN59=0,K59,0)</f>
        <v>0</v>
      </c>
      <c r="AK59" s="420">
        <f>IF(AN59=15,K59,0)</f>
        <v>0</v>
      </c>
      <c r="AL59" s="420">
        <f>IF(AN59=21,K59,0)</f>
        <v>0</v>
      </c>
      <c r="AN59" s="420">
        <v>21</v>
      </c>
      <c r="AO59" s="420">
        <f>H59*0</f>
        <v>0</v>
      </c>
      <c r="AP59" s="420">
        <f>H59*(1-0)</f>
        <v>0</v>
      </c>
      <c r="AQ59" s="422" t="s">
        <v>657</v>
      </c>
      <c r="AV59" s="420">
        <f>AW59+AX59</f>
        <v>0</v>
      </c>
      <c r="AW59" s="420">
        <f>G59*AO59</f>
        <v>0</v>
      </c>
      <c r="AX59" s="420">
        <f>G59*AP59</f>
        <v>0</v>
      </c>
      <c r="AY59" s="422" t="s">
        <v>734</v>
      </c>
      <c r="AZ59" s="422" t="s">
        <v>670</v>
      </c>
      <c r="BA59" s="408" t="s">
        <v>662</v>
      </c>
      <c r="BC59" s="420">
        <f>AW59+AX59</f>
        <v>0</v>
      </c>
      <c r="BD59" s="420">
        <f>H59/(100-BE59)*100</f>
        <v>0</v>
      </c>
      <c r="BE59" s="420">
        <v>0</v>
      </c>
      <c r="BF59" s="420">
        <f>M59</f>
        <v>0</v>
      </c>
      <c r="BH59" s="420">
        <f>G59*AO59</f>
        <v>0</v>
      </c>
      <c r="BI59" s="420">
        <f>G59*AP59</f>
        <v>0</v>
      </c>
      <c r="BJ59" s="420">
        <f>G59*H59</f>
        <v>0</v>
      </c>
      <c r="BK59" s="420"/>
      <c r="BL59" s="420">
        <v>16</v>
      </c>
    </row>
    <row r="60" spans="1:64" ht="15" customHeight="1">
      <c r="A60" s="423"/>
      <c r="D60" s="424" t="s">
        <v>1119</v>
      </c>
      <c r="E60" s="424" t="s">
        <v>654</v>
      </c>
      <c r="G60" s="425">
        <v>50.499540000000003</v>
      </c>
      <c r="N60" s="426"/>
    </row>
    <row r="61" spans="1:64" ht="15" customHeight="1">
      <c r="A61" s="423"/>
      <c r="D61" s="424" t="s">
        <v>1120</v>
      </c>
      <c r="E61" s="424" t="s">
        <v>654</v>
      </c>
      <c r="G61" s="425">
        <v>121.93373000000001</v>
      </c>
      <c r="N61" s="426"/>
    </row>
    <row r="62" spans="1:64" ht="15" customHeight="1">
      <c r="A62" s="401" t="s">
        <v>746</v>
      </c>
      <c r="B62" s="402" t="s">
        <v>654</v>
      </c>
      <c r="C62" s="402" t="s">
        <v>744</v>
      </c>
      <c r="D62" s="440" t="s">
        <v>745</v>
      </c>
      <c r="E62" s="440"/>
      <c r="F62" s="402" t="s">
        <v>694</v>
      </c>
      <c r="G62" s="420">
        <v>172.43326999999999</v>
      </c>
      <c r="H62" s="420"/>
      <c r="I62" s="420">
        <f>G62*AO62</f>
        <v>0</v>
      </c>
      <c r="J62" s="420">
        <f>G62*AP62</f>
        <v>0</v>
      </c>
      <c r="K62" s="420">
        <f>G62*H62</f>
        <v>0</v>
      </c>
      <c r="L62" s="420">
        <v>0</v>
      </c>
      <c r="M62" s="420">
        <f>G62*L62</f>
        <v>0</v>
      </c>
      <c r="N62" s="421" t="s">
        <v>1358</v>
      </c>
      <c r="Z62" s="420">
        <f>IF(AQ62="5",BJ62,0)</f>
        <v>0</v>
      </c>
      <c r="AB62" s="420">
        <f>IF(AQ62="1",BH62,0)</f>
        <v>0</v>
      </c>
      <c r="AC62" s="420">
        <f>IF(AQ62="1",BI62,0)</f>
        <v>0</v>
      </c>
      <c r="AD62" s="420">
        <f>IF(AQ62="7",BH62,0)</f>
        <v>0</v>
      </c>
      <c r="AE62" s="420">
        <f>IF(AQ62="7",BI62,0)</f>
        <v>0</v>
      </c>
      <c r="AF62" s="420">
        <f>IF(AQ62="2",BH62,0)</f>
        <v>0</v>
      </c>
      <c r="AG62" s="420">
        <f>IF(AQ62="2",BI62,0)</f>
        <v>0</v>
      </c>
      <c r="AH62" s="420">
        <f>IF(AQ62="0",BJ62,0)</f>
        <v>0</v>
      </c>
      <c r="AI62" s="408" t="s">
        <v>654</v>
      </c>
      <c r="AJ62" s="420">
        <f>IF(AN62=0,K62,0)</f>
        <v>0</v>
      </c>
      <c r="AK62" s="420">
        <f>IF(AN62=15,K62,0)</f>
        <v>0</v>
      </c>
      <c r="AL62" s="420">
        <f>IF(AN62=21,K62,0)</f>
        <v>0</v>
      </c>
      <c r="AN62" s="420">
        <v>21</v>
      </c>
      <c r="AO62" s="420">
        <f>H62*0</f>
        <v>0</v>
      </c>
      <c r="AP62" s="420">
        <f>H62*(1-0)</f>
        <v>0</v>
      </c>
      <c r="AQ62" s="422" t="s">
        <v>657</v>
      </c>
      <c r="AV62" s="420">
        <f>AW62+AX62</f>
        <v>0</v>
      </c>
      <c r="AW62" s="420">
        <f>G62*AO62</f>
        <v>0</v>
      </c>
      <c r="AX62" s="420">
        <f>G62*AP62</f>
        <v>0</v>
      </c>
      <c r="AY62" s="422" t="s">
        <v>734</v>
      </c>
      <c r="AZ62" s="422" t="s">
        <v>670</v>
      </c>
      <c r="BA62" s="408" t="s">
        <v>662</v>
      </c>
      <c r="BC62" s="420">
        <f>AW62+AX62</f>
        <v>0</v>
      </c>
      <c r="BD62" s="420">
        <f>H62/(100-BE62)*100</f>
        <v>0</v>
      </c>
      <c r="BE62" s="420">
        <v>0</v>
      </c>
      <c r="BF62" s="420">
        <f>M62</f>
        <v>0</v>
      </c>
      <c r="BH62" s="420">
        <f>G62*AO62</f>
        <v>0</v>
      </c>
      <c r="BI62" s="420">
        <f>G62*AP62</f>
        <v>0</v>
      </c>
      <c r="BJ62" s="420">
        <f>G62*H62</f>
        <v>0</v>
      </c>
      <c r="BK62" s="420"/>
      <c r="BL62" s="420">
        <v>16</v>
      </c>
    </row>
    <row r="63" spans="1:64" ht="15" customHeight="1">
      <c r="A63" s="423"/>
      <c r="D63" s="424" t="s">
        <v>1121</v>
      </c>
      <c r="E63" s="424" t="s">
        <v>654</v>
      </c>
      <c r="G63" s="425">
        <v>172.43327000000002</v>
      </c>
      <c r="N63" s="426"/>
    </row>
    <row r="64" spans="1:64" ht="15" customHeight="1">
      <c r="A64" s="401" t="s">
        <v>749</v>
      </c>
      <c r="B64" s="402" t="s">
        <v>654</v>
      </c>
      <c r="C64" s="402" t="s">
        <v>740</v>
      </c>
      <c r="D64" s="440" t="s">
        <v>747</v>
      </c>
      <c r="E64" s="440"/>
      <c r="F64" s="402" t="s">
        <v>694</v>
      </c>
      <c r="G64" s="420">
        <v>172.43326999999999</v>
      </c>
      <c r="H64" s="420"/>
      <c r="I64" s="420">
        <f>G64*AO64</f>
        <v>0</v>
      </c>
      <c r="J64" s="420">
        <f>G64*AP64</f>
        <v>0</v>
      </c>
      <c r="K64" s="420">
        <f>G64*H64</f>
        <v>0</v>
      </c>
      <c r="L64" s="420">
        <v>0</v>
      </c>
      <c r="M64" s="420">
        <f>G64*L64</f>
        <v>0</v>
      </c>
      <c r="N64" s="421" t="s">
        <v>1358</v>
      </c>
      <c r="Z64" s="420">
        <f>IF(AQ64="5",BJ64,0)</f>
        <v>0</v>
      </c>
      <c r="AB64" s="420">
        <f>IF(AQ64="1",BH64,0)</f>
        <v>0</v>
      </c>
      <c r="AC64" s="420">
        <f>IF(AQ64="1",BI64,0)</f>
        <v>0</v>
      </c>
      <c r="AD64" s="420">
        <f>IF(AQ64="7",BH64,0)</f>
        <v>0</v>
      </c>
      <c r="AE64" s="420">
        <f>IF(AQ64="7",BI64,0)</f>
        <v>0</v>
      </c>
      <c r="AF64" s="420">
        <f>IF(AQ64="2",BH64,0)</f>
        <v>0</v>
      </c>
      <c r="AG64" s="420">
        <f>IF(AQ64="2",BI64,0)</f>
        <v>0</v>
      </c>
      <c r="AH64" s="420">
        <f>IF(AQ64="0",BJ64,0)</f>
        <v>0</v>
      </c>
      <c r="AI64" s="408" t="s">
        <v>654</v>
      </c>
      <c r="AJ64" s="420">
        <f>IF(AN64=0,K64,0)</f>
        <v>0</v>
      </c>
      <c r="AK64" s="420">
        <f>IF(AN64=15,K64,0)</f>
        <v>0</v>
      </c>
      <c r="AL64" s="420">
        <f>IF(AN64=21,K64,0)</f>
        <v>0</v>
      </c>
      <c r="AN64" s="420">
        <v>21</v>
      </c>
      <c r="AO64" s="420">
        <f>H64*0</f>
        <v>0</v>
      </c>
      <c r="AP64" s="420">
        <f>H64*(1-0)</f>
        <v>0</v>
      </c>
      <c r="AQ64" s="422" t="s">
        <v>657</v>
      </c>
      <c r="AV64" s="420">
        <f>AW64+AX64</f>
        <v>0</v>
      </c>
      <c r="AW64" s="420">
        <f>G64*AO64</f>
        <v>0</v>
      </c>
      <c r="AX64" s="420">
        <f>G64*AP64</f>
        <v>0</v>
      </c>
      <c r="AY64" s="422" t="s">
        <v>734</v>
      </c>
      <c r="AZ64" s="422" t="s">
        <v>670</v>
      </c>
      <c r="BA64" s="408" t="s">
        <v>662</v>
      </c>
      <c r="BC64" s="420">
        <f>AW64+AX64</f>
        <v>0</v>
      </c>
      <c r="BD64" s="420">
        <f>H64/(100-BE64)*100</f>
        <v>0</v>
      </c>
      <c r="BE64" s="420">
        <v>0</v>
      </c>
      <c r="BF64" s="420">
        <f>M64</f>
        <v>0</v>
      </c>
      <c r="BH64" s="420">
        <f>G64*AO64</f>
        <v>0</v>
      </c>
      <c r="BI64" s="420">
        <f>G64*AP64</f>
        <v>0</v>
      </c>
      <c r="BJ64" s="420">
        <f>G64*H64</f>
        <v>0</v>
      </c>
      <c r="BK64" s="420"/>
      <c r="BL64" s="420">
        <v>16</v>
      </c>
    </row>
    <row r="65" spans="1:64" ht="15" customHeight="1">
      <c r="A65" s="423"/>
      <c r="D65" s="424" t="s">
        <v>1119</v>
      </c>
      <c r="E65" s="424" t="s">
        <v>654</v>
      </c>
      <c r="G65" s="425">
        <v>50.499540000000003</v>
      </c>
      <c r="N65" s="426"/>
    </row>
    <row r="66" spans="1:64" ht="15" customHeight="1">
      <c r="A66" s="423"/>
      <c r="D66" s="424" t="s">
        <v>1120</v>
      </c>
      <c r="E66" s="424" t="s">
        <v>654</v>
      </c>
      <c r="G66" s="425">
        <v>121.93373000000001</v>
      </c>
      <c r="N66" s="426"/>
    </row>
    <row r="67" spans="1:64" ht="15" customHeight="1">
      <c r="A67" s="401" t="s">
        <v>751</v>
      </c>
      <c r="B67" s="402" t="s">
        <v>654</v>
      </c>
      <c r="C67" s="402" t="s">
        <v>744</v>
      </c>
      <c r="D67" s="440" t="s">
        <v>750</v>
      </c>
      <c r="E67" s="440"/>
      <c r="F67" s="402" t="s">
        <v>694</v>
      </c>
      <c r="G67" s="420">
        <v>172.43326999999999</v>
      </c>
      <c r="H67" s="420"/>
      <c r="I67" s="420">
        <f>G67*AO67</f>
        <v>0</v>
      </c>
      <c r="J67" s="420">
        <f>G67*AP67</f>
        <v>0</v>
      </c>
      <c r="K67" s="420">
        <f>G67*H67</f>
        <v>0</v>
      </c>
      <c r="L67" s="420">
        <v>0</v>
      </c>
      <c r="M67" s="420">
        <f>G67*L67</f>
        <v>0</v>
      </c>
      <c r="N67" s="421" t="s">
        <v>1358</v>
      </c>
      <c r="Z67" s="420">
        <f>IF(AQ67="5",BJ67,0)</f>
        <v>0</v>
      </c>
      <c r="AB67" s="420">
        <f>IF(AQ67="1",BH67,0)</f>
        <v>0</v>
      </c>
      <c r="AC67" s="420">
        <f>IF(AQ67="1",BI67,0)</f>
        <v>0</v>
      </c>
      <c r="AD67" s="420">
        <f>IF(AQ67="7",BH67,0)</f>
        <v>0</v>
      </c>
      <c r="AE67" s="420">
        <f>IF(AQ67="7",BI67,0)</f>
        <v>0</v>
      </c>
      <c r="AF67" s="420">
        <f>IF(AQ67="2",BH67,0)</f>
        <v>0</v>
      </c>
      <c r="AG67" s="420">
        <f>IF(AQ67="2",BI67,0)</f>
        <v>0</v>
      </c>
      <c r="AH67" s="420">
        <f>IF(AQ67="0",BJ67,0)</f>
        <v>0</v>
      </c>
      <c r="AI67" s="408" t="s">
        <v>654</v>
      </c>
      <c r="AJ67" s="420">
        <f>IF(AN67=0,K67,0)</f>
        <v>0</v>
      </c>
      <c r="AK67" s="420">
        <f>IF(AN67=15,K67,0)</f>
        <v>0</v>
      </c>
      <c r="AL67" s="420">
        <f>IF(AN67=21,K67,0)</f>
        <v>0</v>
      </c>
      <c r="AN67" s="420">
        <v>21</v>
      </c>
      <c r="AO67" s="420">
        <f>H67*0</f>
        <v>0</v>
      </c>
      <c r="AP67" s="420">
        <f>H67*(1-0)</f>
        <v>0</v>
      </c>
      <c r="AQ67" s="422" t="s">
        <v>657</v>
      </c>
      <c r="AV67" s="420">
        <f>AW67+AX67</f>
        <v>0</v>
      </c>
      <c r="AW67" s="420">
        <f>G67*AO67</f>
        <v>0</v>
      </c>
      <c r="AX67" s="420">
        <f>G67*AP67</f>
        <v>0</v>
      </c>
      <c r="AY67" s="422" t="s">
        <v>734</v>
      </c>
      <c r="AZ67" s="422" t="s">
        <v>670</v>
      </c>
      <c r="BA67" s="408" t="s">
        <v>662</v>
      </c>
      <c r="BC67" s="420">
        <f>AW67+AX67</f>
        <v>0</v>
      </c>
      <c r="BD67" s="420">
        <f>H67/(100-BE67)*100</f>
        <v>0</v>
      </c>
      <c r="BE67" s="420">
        <v>0</v>
      </c>
      <c r="BF67" s="420">
        <f>M67</f>
        <v>0</v>
      </c>
      <c r="BH67" s="420">
        <f>G67*AO67</f>
        <v>0</v>
      </c>
      <c r="BI67" s="420">
        <f>G67*AP67</f>
        <v>0</v>
      </c>
      <c r="BJ67" s="420">
        <f>G67*H67</f>
        <v>0</v>
      </c>
      <c r="BK67" s="420"/>
      <c r="BL67" s="420">
        <v>16</v>
      </c>
    </row>
    <row r="68" spans="1:64" ht="15" customHeight="1">
      <c r="A68" s="423"/>
      <c r="D68" s="424" t="s">
        <v>1121</v>
      </c>
      <c r="E68" s="424" t="s">
        <v>654</v>
      </c>
      <c r="G68" s="425">
        <v>172.43327000000002</v>
      </c>
      <c r="N68" s="426"/>
    </row>
    <row r="69" spans="1:64" ht="15" customHeight="1">
      <c r="A69" s="401" t="s">
        <v>754</v>
      </c>
      <c r="B69" s="402" t="s">
        <v>654</v>
      </c>
      <c r="C69" s="402" t="s">
        <v>740</v>
      </c>
      <c r="D69" s="440" t="s">
        <v>752</v>
      </c>
      <c r="E69" s="440"/>
      <c r="F69" s="402" t="s">
        <v>694</v>
      </c>
      <c r="G69" s="420">
        <v>106.88363</v>
      </c>
      <c r="H69" s="420"/>
      <c r="I69" s="420">
        <f>G69*AO69</f>
        <v>0</v>
      </c>
      <c r="J69" s="420">
        <f>G69*AP69</f>
        <v>0</v>
      </c>
      <c r="K69" s="420">
        <f>G69*H69</f>
        <v>0</v>
      </c>
      <c r="L69" s="420">
        <v>0</v>
      </c>
      <c r="M69" s="420">
        <f>G69*L69</f>
        <v>0</v>
      </c>
      <c r="N69" s="421" t="s">
        <v>1358</v>
      </c>
      <c r="Z69" s="420">
        <f>IF(AQ69="5",BJ69,0)</f>
        <v>0</v>
      </c>
      <c r="AB69" s="420">
        <f>IF(AQ69="1",BH69,0)</f>
        <v>0</v>
      </c>
      <c r="AC69" s="420">
        <f>IF(AQ69="1",BI69,0)</f>
        <v>0</v>
      </c>
      <c r="AD69" s="420">
        <f>IF(AQ69="7",BH69,0)</f>
        <v>0</v>
      </c>
      <c r="AE69" s="420">
        <f>IF(AQ69="7",BI69,0)</f>
        <v>0</v>
      </c>
      <c r="AF69" s="420">
        <f>IF(AQ69="2",BH69,0)</f>
        <v>0</v>
      </c>
      <c r="AG69" s="420">
        <f>IF(AQ69="2",BI69,0)</f>
        <v>0</v>
      </c>
      <c r="AH69" s="420">
        <f>IF(AQ69="0",BJ69,0)</f>
        <v>0</v>
      </c>
      <c r="AI69" s="408" t="s">
        <v>654</v>
      </c>
      <c r="AJ69" s="420">
        <f>IF(AN69=0,K69,0)</f>
        <v>0</v>
      </c>
      <c r="AK69" s="420">
        <f>IF(AN69=15,K69,0)</f>
        <v>0</v>
      </c>
      <c r="AL69" s="420">
        <f>IF(AN69=21,K69,0)</f>
        <v>0</v>
      </c>
      <c r="AN69" s="420">
        <v>21</v>
      </c>
      <c r="AO69" s="420">
        <f>H69*0</f>
        <v>0</v>
      </c>
      <c r="AP69" s="420">
        <f>H69*(1-0)</f>
        <v>0</v>
      </c>
      <c r="AQ69" s="422" t="s">
        <v>657</v>
      </c>
      <c r="AV69" s="420">
        <f>AW69+AX69</f>
        <v>0</v>
      </c>
      <c r="AW69" s="420">
        <f>G69*AO69</f>
        <v>0</v>
      </c>
      <c r="AX69" s="420">
        <f>G69*AP69</f>
        <v>0</v>
      </c>
      <c r="AY69" s="422" t="s">
        <v>734</v>
      </c>
      <c r="AZ69" s="422" t="s">
        <v>670</v>
      </c>
      <c r="BA69" s="408" t="s">
        <v>662</v>
      </c>
      <c r="BC69" s="420">
        <f>AW69+AX69</f>
        <v>0</v>
      </c>
      <c r="BD69" s="420">
        <f>H69/(100-BE69)*100</f>
        <v>0</v>
      </c>
      <c r="BE69" s="420">
        <v>0</v>
      </c>
      <c r="BF69" s="420">
        <f>M69</f>
        <v>0</v>
      </c>
      <c r="BH69" s="420">
        <f>G69*AO69</f>
        <v>0</v>
      </c>
      <c r="BI69" s="420">
        <f>G69*AP69</f>
        <v>0</v>
      </c>
      <c r="BJ69" s="420">
        <f>G69*H69</f>
        <v>0</v>
      </c>
      <c r="BK69" s="420"/>
      <c r="BL69" s="420">
        <v>16</v>
      </c>
    </row>
    <row r="70" spans="1:64" ht="15" customHeight="1">
      <c r="A70" s="423"/>
      <c r="D70" s="424" t="s">
        <v>1122</v>
      </c>
      <c r="E70" s="424" t="s">
        <v>654</v>
      </c>
      <c r="G70" s="425">
        <v>279.31654000000003</v>
      </c>
      <c r="N70" s="426"/>
    </row>
    <row r="71" spans="1:64" ht="15" customHeight="1">
      <c r="A71" s="423"/>
      <c r="D71" s="424" t="s">
        <v>1123</v>
      </c>
      <c r="E71" s="424" t="s">
        <v>654</v>
      </c>
      <c r="G71" s="425">
        <v>-50.499540000000003</v>
      </c>
      <c r="N71" s="426"/>
    </row>
    <row r="72" spans="1:64" ht="15" customHeight="1">
      <c r="A72" s="423"/>
      <c r="D72" s="424" t="s">
        <v>1124</v>
      </c>
      <c r="E72" s="424" t="s">
        <v>654</v>
      </c>
      <c r="G72" s="425">
        <v>-121.93337000000001</v>
      </c>
      <c r="N72" s="426"/>
    </row>
    <row r="73" spans="1:64" ht="15" customHeight="1">
      <c r="A73" s="401" t="s">
        <v>757</v>
      </c>
      <c r="B73" s="402" t="s">
        <v>654</v>
      </c>
      <c r="C73" s="402" t="s">
        <v>755</v>
      </c>
      <c r="D73" s="440" t="s">
        <v>756</v>
      </c>
      <c r="E73" s="440"/>
      <c r="F73" s="402" t="s">
        <v>694</v>
      </c>
      <c r="G73" s="420">
        <v>106.88363</v>
      </c>
      <c r="H73" s="420"/>
      <c r="I73" s="420">
        <f>G73*AO73</f>
        <v>0</v>
      </c>
      <c r="J73" s="420">
        <f>G73*AP73</f>
        <v>0</v>
      </c>
      <c r="K73" s="420">
        <f>G73*H73</f>
        <v>0</v>
      </c>
      <c r="L73" s="420">
        <v>0</v>
      </c>
      <c r="M73" s="420">
        <f>G73*L73</f>
        <v>0</v>
      </c>
      <c r="N73" s="421" t="s">
        <v>1358</v>
      </c>
      <c r="Z73" s="420">
        <f>IF(AQ73="5",BJ73,0)</f>
        <v>0</v>
      </c>
      <c r="AB73" s="420">
        <f>IF(AQ73="1",BH73,0)</f>
        <v>0</v>
      </c>
      <c r="AC73" s="420">
        <f>IF(AQ73="1",BI73,0)</f>
        <v>0</v>
      </c>
      <c r="AD73" s="420">
        <f>IF(AQ73="7",BH73,0)</f>
        <v>0</v>
      </c>
      <c r="AE73" s="420">
        <f>IF(AQ73="7",BI73,0)</f>
        <v>0</v>
      </c>
      <c r="AF73" s="420">
        <f>IF(AQ73="2",BH73,0)</f>
        <v>0</v>
      </c>
      <c r="AG73" s="420">
        <f>IF(AQ73="2",BI73,0)</f>
        <v>0</v>
      </c>
      <c r="AH73" s="420">
        <f>IF(AQ73="0",BJ73,0)</f>
        <v>0</v>
      </c>
      <c r="AI73" s="408" t="s">
        <v>654</v>
      </c>
      <c r="AJ73" s="420">
        <f>IF(AN73=0,K73,0)</f>
        <v>0</v>
      </c>
      <c r="AK73" s="420">
        <f>IF(AN73=15,K73,0)</f>
        <v>0</v>
      </c>
      <c r="AL73" s="420">
        <f>IF(AN73=21,K73,0)</f>
        <v>0</v>
      </c>
      <c r="AN73" s="420">
        <v>21</v>
      </c>
      <c r="AO73" s="420">
        <f>H73*0</f>
        <v>0</v>
      </c>
      <c r="AP73" s="420">
        <f>H73*(1-0)</f>
        <v>0</v>
      </c>
      <c r="AQ73" s="422" t="s">
        <v>657</v>
      </c>
      <c r="AV73" s="420">
        <f>AW73+AX73</f>
        <v>0</v>
      </c>
      <c r="AW73" s="420">
        <f>G73*AO73</f>
        <v>0</v>
      </c>
      <c r="AX73" s="420">
        <f>G73*AP73</f>
        <v>0</v>
      </c>
      <c r="AY73" s="422" t="s">
        <v>734</v>
      </c>
      <c r="AZ73" s="422" t="s">
        <v>670</v>
      </c>
      <c r="BA73" s="408" t="s">
        <v>662</v>
      </c>
      <c r="BC73" s="420">
        <f>AW73+AX73</f>
        <v>0</v>
      </c>
      <c r="BD73" s="420">
        <f>H73/(100-BE73)*100</f>
        <v>0</v>
      </c>
      <c r="BE73" s="420">
        <v>0</v>
      </c>
      <c r="BF73" s="420">
        <f>M73</f>
        <v>0</v>
      </c>
      <c r="BH73" s="420">
        <f>G73*AO73</f>
        <v>0</v>
      </c>
      <c r="BI73" s="420">
        <f>G73*AP73</f>
        <v>0</v>
      </c>
      <c r="BJ73" s="420">
        <f>G73*H73</f>
        <v>0</v>
      </c>
      <c r="BK73" s="420"/>
      <c r="BL73" s="420">
        <v>16</v>
      </c>
    </row>
    <row r="74" spans="1:64" ht="15" customHeight="1">
      <c r="A74" s="423"/>
      <c r="D74" s="424" t="s">
        <v>1125</v>
      </c>
      <c r="E74" s="424" t="s">
        <v>654</v>
      </c>
      <c r="G74" s="425">
        <v>106.88363000000001</v>
      </c>
      <c r="N74" s="426"/>
    </row>
    <row r="75" spans="1:64" ht="15" customHeight="1">
      <c r="A75" s="401" t="s">
        <v>761</v>
      </c>
      <c r="B75" s="402" t="s">
        <v>654</v>
      </c>
      <c r="C75" s="402" t="s">
        <v>758</v>
      </c>
      <c r="D75" s="440" t="s">
        <v>759</v>
      </c>
      <c r="E75" s="440"/>
      <c r="F75" s="402" t="s">
        <v>694</v>
      </c>
      <c r="G75" s="420">
        <v>2030.7889700000001</v>
      </c>
      <c r="H75" s="420"/>
      <c r="I75" s="420">
        <f>G75*AO75</f>
        <v>0</v>
      </c>
      <c r="J75" s="420">
        <f>G75*AP75</f>
        <v>0</v>
      </c>
      <c r="K75" s="420">
        <f>G75*H75</f>
        <v>0</v>
      </c>
      <c r="L75" s="420">
        <v>0</v>
      </c>
      <c r="M75" s="420">
        <f>G75*L75</f>
        <v>0</v>
      </c>
      <c r="N75" s="421" t="s">
        <v>1358</v>
      </c>
      <c r="Z75" s="420">
        <f>IF(AQ75="5",BJ75,0)</f>
        <v>0</v>
      </c>
      <c r="AB75" s="420">
        <f>IF(AQ75="1",BH75,0)</f>
        <v>0</v>
      </c>
      <c r="AC75" s="420">
        <f>IF(AQ75="1",BI75,0)</f>
        <v>0</v>
      </c>
      <c r="AD75" s="420">
        <f>IF(AQ75="7",BH75,0)</f>
        <v>0</v>
      </c>
      <c r="AE75" s="420">
        <f>IF(AQ75="7",BI75,0)</f>
        <v>0</v>
      </c>
      <c r="AF75" s="420">
        <f>IF(AQ75="2",BH75,0)</f>
        <v>0</v>
      </c>
      <c r="AG75" s="420">
        <f>IF(AQ75="2",BI75,0)</f>
        <v>0</v>
      </c>
      <c r="AH75" s="420">
        <f>IF(AQ75="0",BJ75,0)</f>
        <v>0</v>
      </c>
      <c r="AI75" s="408" t="s">
        <v>654</v>
      </c>
      <c r="AJ75" s="420">
        <f>IF(AN75=0,K75,0)</f>
        <v>0</v>
      </c>
      <c r="AK75" s="420">
        <f>IF(AN75=15,K75,0)</f>
        <v>0</v>
      </c>
      <c r="AL75" s="420">
        <f>IF(AN75=21,K75,0)</f>
        <v>0</v>
      </c>
      <c r="AN75" s="420">
        <v>21</v>
      </c>
      <c r="AO75" s="420">
        <f>H75*0</f>
        <v>0</v>
      </c>
      <c r="AP75" s="420">
        <f>H75*(1-0)</f>
        <v>0</v>
      </c>
      <c r="AQ75" s="422" t="s">
        <v>657</v>
      </c>
      <c r="AV75" s="420">
        <f>AW75+AX75</f>
        <v>0</v>
      </c>
      <c r="AW75" s="420">
        <f>G75*AO75</f>
        <v>0</v>
      </c>
      <c r="AX75" s="420">
        <f>G75*AP75</f>
        <v>0</v>
      </c>
      <c r="AY75" s="422" t="s">
        <v>734</v>
      </c>
      <c r="AZ75" s="422" t="s">
        <v>670</v>
      </c>
      <c r="BA75" s="408" t="s">
        <v>662</v>
      </c>
      <c r="BC75" s="420">
        <f>AW75+AX75</f>
        <v>0</v>
      </c>
      <c r="BD75" s="420">
        <f>H75/(100-BE75)*100</f>
        <v>0</v>
      </c>
      <c r="BE75" s="420">
        <v>0</v>
      </c>
      <c r="BF75" s="420">
        <f>M75</f>
        <v>0</v>
      </c>
      <c r="BH75" s="420">
        <f>G75*AO75</f>
        <v>0</v>
      </c>
      <c r="BI75" s="420">
        <f>G75*AP75</f>
        <v>0</v>
      </c>
      <c r="BJ75" s="420">
        <f>G75*H75</f>
        <v>0</v>
      </c>
      <c r="BK75" s="420"/>
      <c r="BL75" s="420">
        <v>16</v>
      </c>
    </row>
    <row r="76" spans="1:64" ht="15" customHeight="1">
      <c r="A76" s="423"/>
      <c r="D76" s="424" t="s">
        <v>1126</v>
      </c>
      <c r="E76" s="424" t="s">
        <v>654</v>
      </c>
      <c r="G76" s="425">
        <v>2030.7889700000001</v>
      </c>
      <c r="N76" s="426"/>
    </row>
    <row r="77" spans="1:64" ht="15" customHeight="1">
      <c r="A77" s="416" t="s">
        <v>654</v>
      </c>
      <c r="B77" s="417" t="s">
        <v>654</v>
      </c>
      <c r="C77" s="417" t="s">
        <v>727</v>
      </c>
      <c r="D77" s="455" t="s">
        <v>760</v>
      </c>
      <c r="E77" s="455"/>
      <c r="F77" s="418" t="s">
        <v>608</v>
      </c>
      <c r="G77" s="418" t="s">
        <v>608</v>
      </c>
      <c r="H77" s="418"/>
      <c r="I77" s="400">
        <f>SUM(I78:I96)</f>
        <v>0</v>
      </c>
      <c r="J77" s="400">
        <f>SUM(J78:J96)</f>
        <v>0</v>
      </c>
      <c r="K77" s="400">
        <f>SUM(K78:K96)</f>
        <v>0</v>
      </c>
      <c r="L77" s="408" t="s">
        <v>654</v>
      </c>
      <c r="M77" s="400">
        <f>SUM(M78:M96)</f>
        <v>97.785630900000001</v>
      </c>
      <c r="N77" s="419" t="s">
        <v>654</v>
      </c>
      <c r="AI77" s="408" t="s">
        <v>654</v>
      </c>
      <c r="AS77" s="400">
        <f>SUM(AJ78:AJ96)</f>
        <v>0</v>
      </c>
      <c r="AT77" s="400">
        <f>SUM(AK78:AK96)</f>
        <v>0</v>
      </c>
      <c r="AU77" s="400">
        <f>SUM(AL78:AL96)</f>
        <v>0</v>
      </c>
    </row>
    <row r="78" spans="1:64" ht="15" customHeight="1">
      <c r="A78" s="401" t="s">
        <v>769</v>
      </c>
      <c r="B78" s="402" t="s">
        <v>654</v>
      </c>
      <c r="C78" s="402" t="s">
        <v>762</v>
      </c>
      <c r="D78" s="440" t="s">
        <v>1127</v>
      </c>
      <c r="E78" s="440"/>
      <c r="F78" s="402" t="s">
        <v>694</v>
      </c>
      <c r="G78" s="420">
        <v>50.499540000000003</v>
      </c>
      <c r="H78" s="420"/>
      <c r="I78" s="420">
        <f>G78*AO78</f>
        <v>0</v>
      </c>
      <c r="J78" s="420">
        <f>G78*AP78</f>
        <v>0</v>
      </c>
      <c r="K78" s="420">
        <f>G78*H78</f>
        <v>0</v>
      </c>
      <c r="L78" s="420">
        <v>0</v>
      </c>
      <c r="M78" s="420">
        <f>G78*L78</f>
        <v>0</v>
      </c>
      <c r="N78" s="421" t="s">
        <v>1358</v>
      </c>
      <c r="Z78" s="420">
        <f>IF(AQ78="5",BJ78,0)</f>
        <v>0</v>
      </c>
      <c r="AB78" s="420">
        <f>IF(AQ78="1",BH78,0)</f>
        <v>0</v>
      </c>
      <c r="AC78" s="420">
        <f>IF(AQ78="1",BI78,0)</f>
        <v>0</v>
      </c>
      <c r="AD78" s="420">
        <f>IF(AQ78="7",BH78,0)</f>
        <v>0</v>
      </c>
      <c r="AE78" s="420">
        <f>IF(AQ78="7",BI78,0)</f>
        <v>0</v>
      </c>
      <c r="AF78" s="420">
        <f>IF(AQ78="2",BH78,0)</f>
        <v>0</v>
      </c>
      <c r="AG78" s="420">
        <f>IF(AQ78="2",BI78,0)</f>
        <v>0</v>
      </c>
      <c r="AH78" s="420">
        <f>IF(AQ78="0",BJ78,0)</f>
        <v>0</v>
      </c>
      <c r="AI78" s="408" t="s">
        <v>654</v>
      </c>
      <c r="AJ78" s="420">
        <f>IF(AN78=0,K78,0)</f>
        <v>0</v>
      </c>
      <c r="AK78" s="420">
        <f>IF(AN78=15,K78,0)</f>
        <v>0</v>
      </c>
      <c r="AL78" s="420">
        <f>IF(AN78=21,K78,0)</f>
        <v>0</v>
      </c>
      <c r="AN78" s="420">
        <v>21</v>
      </c>
      <c r="AO78" s="420">
        <f>H78*0</f>
        <v>0</v>
      </c>
      <c r="AP78" s="420">
        <f>H78*(1-0)</f>
        <v>0</v>
      </c>
      <c r="AQ78" s="422" t="s">
        <v>657</v>
      </c>
      <c r="AV78" s="420">
        <f>AW78+AX78</f>
        <v>0</v>
      </c>
      <c r="AW78" s="420">
        <f>G78*AO78</f>
        <v>0</v>
      </c>
      <c r="AX78" s="420">
        <f>G78*AP78</f>
        <v>0</v>
      </c>
      <c r="AY78" s="422" t="s">
        <v>764</v>
      </c>
      <c r="AZ78" s="422" t="s">
        <v>670</v>
      </c>
      <c r="BA78" s="408" t="s">
        <v>662</v>
      </c>
      <c r="BC78" s="420">
        <f>AW78+AX78</f>
        <v>0</v>
      </c>
      <c r="BD78" s="420">
        <f>H78/(100-BE78)*100</f>
        <v>0</v>
      </c>
      <c r="BE78" s="420">
        <v>0</v>
      </c>
      <c r="BF78" s="420">
        <f>M78</f>
        <v>0</v>
      </c>
      <c r="BH78" s="420">
        <f>G78*AO78</f>
        <v>0</v>
      </c>
      <c r="BI78" s="420">
        <f>G78*AP78</f>
        <v>0</v>
      </c>
      <c r="BJ78" s="420">
        <f>G78*H78</f>
        <v>0</v>
      </c>
      <c r="BK78" s="420"/>
      <c r="BL78" s="420">
        <v>17</v>
      </c>
    </row>
    <row r="79" spans="1:64" ht="15" customHeight="1">
      <c r="A79" s="423"/>
      <c r="D79" s="424" t="s">
        <v>1128</v>
      </c>
      <c r="E79" s="424" t="s">
        <v>654</v>
      </c>
      <c r="G79" s="425">
        <v>78.143540000000002</v>
      </c>
      <c r="N79" s="426"/>
    </row>
    <row r="80" spans="1:64" ht="15" customHeight="1">
      <c r="A80" s="423"/>
      <c r="D80" s="424" t="s">
        <v>1129</v>
      </c>
      <c r="E80" s="424" t="s">
        <v>654</v>
      </c>
      <c r="G80" s="425">
        <v>-1.8135000000000001</v>
      </c>
      <c r="N80" s="426"/>
    </row>
    <row r="81" spans="1:64" ht="15" customHeight="1">
      <c r="A81" s="423"/>
      <c r="D81" s="424" t="s">
        <v>1130</v>
      </c>
      <c r="E81" s="424" t="s">
        <v>654</v>
      </c>
      <c r="G81" s="425">
        <v>-1.8135000000000001</v>
      </c>
      <c r="N81" s="426"/>
    </row>
    <row r="82" spans="1:64" ht="15" customHeight="1">
      <c r="A82" s="423"/>
      <c r="D82" s="424" t="s">
        <v>1131</v>
      </c>
      <c r="E82" s="424" t="s">
        <v>654</v>
      </c>
      <c r="G82" s="425">
        <v>-23.625000000000004</v>
      </c>
      <c r="N82" s="426"/>
    </row>
    <row r="83" spans="1:64" ht="15" customHeight="1">
      <c r="A83" s="423"/>
      <c r="D83" s="424" t="s">
        <v>1132</v>
      </c>
      <c r="E83" s="424" t="s">
        <v>654</v>
      </c>
      <c r="G83" s="425">
        <v>-0.39200000000000002</v>
      </c>
      <c r="N83" s="426"/>
    </row>
    <row r="84" spans="1:64" ht="15" customHeight="1">
      <c r="A84" s="401" t="s">
        <v>777</v>
      </c>
      <c r="B84" s="402" t="s">
        <v>654</v>
      </c>
      <c r="C84" s="402" t="s">
        <v>770</v>
      </c>
      <c r="D84" s="440" t="s">
        <v>771</v>
      </c>
      <c r="E84" s="440"/>
      <c r="F84" s="402" t="s">
        <v>694</v>
      </c>
      <c r="G84" s="420">
        <v>58.554270000000002</v>
      </c>
      <c r="H84" s="420"/>
      <c r="I84" s="420">
        <f>G84*AO84</f>
        <v>0</v>
      </c>
      <c r="J84" s="420">
        <f>G84*AP84</f>
        <v>0</v>
      </c>
      <c r="K84" s="420">
        <f>G84*H84</f>
        <v>0</v>
      </c>
      <c r="L84" s="420">
        <v>1.67</v>
      </c>
      <c r="M84" s="420">
        <f>G84*L84</f>
        <v>97.785630900000001</v>
      </c>
      <c r="N84" s="421" t="s">
        <v>1358</v>
      </c>
      <c r="Z84" s="420">
        <f>IF(AQ84="5",BJ84,0)</f>
        <v>0</v>
      </c>
      <c r="AB84" s="420">
        <f>IF(AQ84="1",BH84,0)</f>
        <v>0</v>
      </c>
      <c r="AC84" s="420">
        <f>IF(AQ84="1",BI84,0)</f>
        <v>0</v>
      </c>
      <c r="AD84" s="420">
        <f>IF(AQ84="7",BH84,0)</f>
        <v>0</v>
      </c>
      <c r="AE84" s="420">
        <f>IF(AQ84="7",BI84,0)</f>
        <v>0</v>
      </c>
      <c r="AF84" s="420">
        <f>IF(AQ84="2",BH84,0)</f>
        <v>0</v>
      </c>
      <c r="AG84" s="420">
        <f>IF(AQ84="2",BI84,0)</f>
        <v>0</v>
      </c>
      <c r="AH84" s="420">
        <f>IF(AQ84="0",BJ84,0)</f>
        <v>0</v>
      </c>
      <c r="AI84" s="408" t="s">
        <v>654</v>
      </c>
      <c r="AJ84" s="420">
        <f>IF(AN84=0,K84,0)</f>
        <v>0</v>
      </c>
      <c r="AK84" s="420">
        <f>IF(AN84=15,K84,0)</f>
        <v>0</v>
      </c>
      <c r="AL84" s="420">
        <f>IF(AN84=21,K84,0)</f>
        <v>0</v>
      </c>
      <c r="AN84" s="420">
        <v>21</v>
      </c>
      <c r="AO84" s="420">
        <f>H84*0.296986637084728</f>
        <v>0</v>
      </c>
      <c r="AP84" s="420">
        <f>H84*(1-0.296986637084728)</f>
        <v>0</v>
      </c>
      <c r="AQ84" s="422" t="s">
        <v>657</v>
      </c>
      <c r="AV84" s="420">
        <f>AW84+AX84</f>
        <v>0</v>
      </c>
      <c r="AW84" s="420">
        <f>G84*AO84</f>
        <v>0</v>
      </c>
      <c r="AX84" s="420">
        <f>G84*AP84</f>
        <v>0</v>
      </c>
      <c r="AY84" s="422" t="s">
        <v>764</v>
      </c>
      <c r="AZ84" s="422" t="s">
        <v>670</v>
      </c>
      <c r="BA84" s="408" t="s">
        <v>662</v>
      </c>
      <c r="BC84" s="420">
        <f>AW84+AX84</f>
        <v>0</v>
      </c>
      <c r="BD84" s="420">
        <f>H84/(100-BE84)*100</f>
        <v>0</v>
      </c>
      <c r="BE84" s="420">
        <v>0</v>
      </c>
      <c r="BF84" s="420">
        <f>M84</f>
        <v>97.785630900000001</v>
      </c>
      <c r="BH84" s="420">
        <f>G84*AO84</f>
        <v>0</v>
      </c>
      <c r="BI84" s="420">
        <f>G84*AP84</f>
        <v>0</v>
      </c>
      <c r="BJ84" s="420">
        <f>G84*H84</f>
        <v>0</v>
      </c>
      <c r="BK84" s="420"/>
      <c r="BL84" s="420">
        <v>17</v>
      </c>
    </row>
    <row r="85" spans="1:64" ht="15" customHeight="1">
      <c r="A85" s="423"/>
      <c r="D85" s="424" t="s">
        <v>1133</v>
      </c>
      <c r="E85" s="424" t="s">
        <v>654</v>
      </c>
      <c r="G85" s="425">
        <v>60.676000000000002</v>
      </c>
      <c r="N85" s="426"/>
    </row>
    <row r="86" spans="1:64" ht="15" customHeight="1">
      <c r="A86" s="423"/>
      <c r="D86" s="424" t="s">
        <v>1134</v>
      </c>
      <c r="E86" s="424" t="s">
        <v>654</v>
      </c>
      <c r="G86" s="425">
        <v>-2.1217300000000003</v>
      </c>
      <c r="N86" s="426"/>
    </row>
    <row r="87" spans="1:64" ht="15" customHeight="1">
      <c r="A87" s="423"/>
      <c r="D87" s="424" t="s">
        <v>1135</v>
      </c>
      <c r="E87" s="424" t="s">
        <v>654</v>
      </c>
      <c r="G87" s="425">
        <v>0</v>
      </c>
      <c r="N87" s="426"/>
    </row>
    <row r="88" spans="1:64" ht="15" customHeight="1">
      <c r="A88" s="401" t="s">
        <v>779</v>
      </c>
      <c r="B88" s="402" t="s">
        <v>654</v>
      </c>
      <c r="C88" s="402" t="s">
        <v>762</v>
      </c>
      <c r="D88" s="440" t="s">
        <v>778</v>
      </c>
      <c r="E88" s="440"/>
      <c r="F88" s="402" t="s">
        <v>694</v>
      </c>
      <c r="G88" s="420">
        <v>121.93373</v>
      </c>
      <c r="H88" s="420"/>
      <c r="I88" s="420">
        <f>G88*AO88</f>
        <v>0</v>
      </c>
      <c r="J88" s="420">
        <f>G88*AP88</f>
        <v>0</v>
      </c>
      <c r="K88" s="420">
        <f>G88*H88</f>
        <v>0</v>
      </c>
      <c r="L88" s="420">
        <v>0</v>
      </c>
      <c r="M88" s="420">
        <f>G88*L88</f>
        <v>0</v>
      </c>
      <c r="N88" s="421" t="s">
        <v>1358</v>
      </c>
      <c r="Z88" s="420">
        <f>IF(AQ88="5",BJ88,0)</f>
        <v>0</v>
      </c>
      <c r="AB88" s="420">
        <f>IF(AQ88="1",BH88,0)</f>
        <v>0</v>
      </c>
      <c r="AC88" s="420">
        <f>IF(AQ88="1",BI88,0)</f>
        <v>0</v>
      </c>
      <c r="AD88" s="420">
        <f>IF(AQ88="7",BH88,0)</f>
        <v>0</v>
      </c>
      <c r="AE88" s="420">
        <f>IF(AQ88="7",BI88,0)</f>
        <v>0</v>
      </c>
      <c r="AF88" s="420">
        <f>IF(AQ88="2",BH88,0)</f>
        <v>0</v>
      </c>
      <c r="AG88" s="420">
        <f>IF(AQ88="2",BI88,0)</f>
        <v>0</v>
      </c>
      <c r="AH88" s="420">
        <f>IF(AQ88="0",BJ88,0)</f>
        <v>0</v>
      </c>
      <c r="AI88" s="408" t="s">
        <v>654</v>
      </c>
      <c r="AJ88" s="420">
        <f>IF(AN88=0,K88,0)</f>
        <v>0</v>
      </c>
      <c r="AK88" s="420">
        <f>IF(AN88=15,K88,0)</f>
        <v>0</v>
      </c>
      <c r="AL88" s="420">
        <f>IF(AN88=21,K88,0)</f>
        <v>0</v>
      </c>
      <c r="AN88" s="420">
        <v>21</v>
      </c>
      <c r="AO88" s="420">
        <f>H88*0</f>
        <v>0</v>
      </c>
      <c r="AP88" s="420">
        <f>H88*(1-0)</f>
        <v>0</v>
      </c>
      <c r="AQ88" s="422" t="s">
        <v>657</v>
      </c>
      <c r="AV88" s="420">
        <f>AW88+AX88</f>
        <v>0</v>
      </c>
      <c r="AW88" s="420">
        <f>G88*AO88</f>
        <v>0</v>
      </c>
      <c r="AX88" s="420">
        <f>G88*AP88</f>
        <v>0</v>
      </c>
      <c r="AY88" s="422" t="s">
        <v>764</v>
      </c>
      <c r="AZ88" s="422" t="s">
        <v>670</v>
      </c>
      <c r="BA88" s="408" t="s">
        <v>662</v>
      </c>
      <c r="BC88" s="420">
        <f>AW88+AX88</f>
        <v>0</v>
      </c>
      <c r="BD88" s="420">
        <f>H88/(100-BE88)*100</f>
        <v>0</v>
      </c>
      <c r="BE88" s="420">
        <v>0</v>
      </c>
      <c r="BF88" s="420">
        <f>M88</f>
        <v>0</v>
      </c>
      <c r="BH88" s="420">
        <f>G88*AO88</f>
        <v>0</v>
      </c>
      <c r="BI88" s="420">
        <f>G88*AP88</f>
        <v>0</v>
      </c>
      <c r="BJ88" s="420">
        <f>G88*H88</f>
        <v>0</v>
      </c>
      <c r="BK88" s="420"/>
      <c r="BL88" s="420">
        <v>17</v>
      </c>
    </row>
    <row r="89" spans="1:64" ht="15" customHeight="1">
      <c r="A89" s="423"/>
      <c r="D89" s="424" t="s">
        <v>1136</v>
      </c>
      <c r="E89" s="424" t="s">
        <v>654</v>
      </c>
      <c r="G89" s="425">
        <v>201.17300000000003</v>
      </c>
      <c r="N89" s="426"/>
    </row>
    <row r="90" spans="1:64" ht="15" customHeight="1">
      <c r="A90" s="423"/>
      <c r="D90" s="424" t="s">
        <v>1137</v>
      </c>
      <c r="E90" s="424" t="s">
        <v>654</v>
      </c>
      <c r="G90" s="425">
        <v>-20.685000000000002</v>
      </c>
      <c r="N90" s="426"/>
    </row>
    <row r="91" spans="1:64" ht="15" customHeight="1">
      <c r="A91" s="423"/>
      <c r="D91" s="424" t="s">
        <v>1138</v>
      </c>
      <c r="E91" s="424" t="s">
        <v>654</v>
      </c>
      <c r="G91" s="425">
        <v>-58.554270000000002</v>
      </c>
      <c r="N91" s="426"/>
    </row>
    <row r="92" spans="1:64" ht="15" customHeight="1">
      <c r="A92" s="401" t="s">
        <v>782</v>
      </c>
      <c r="B92" s="402" t="s">
        <v>654</v>
      </c>
      <c r="C92" s="402" t="s">
        <v>780</v>
      </c>
      <c r="D92" s="440" t="s">
        <v>781</v>
      </c>
      <c r="E92" s="440"/>
      <c r="F92" s="402" t="s">
        <v>694</v>
      </c>
      <c r="G92" s="420">
        <v>172.43326999999999</v>
      </c>
      <c r="H92" s="420"/>
      <c r="I92" s="420">
        <f>G92*AO92</f>
        <v>0</v>
      </c>
      <c r="J92" s="420">
        <f>G92*AP92</f>
        <v>0</v>
      </c>
      <c r="K92" s="420">
        <f>G92*H92</f>
        <v>0</v>
      </c>
      <c r="L92" s="420">
        <v>0</v>
      </c>
      <c r="M92" s="420">
        <f>G92*L92</f>
        <v>0</v>
      </c>
      <c r="N92" s="421" t="s">
        <v>1358</v>
      </c>
      <c r="Z92" s="420">
        <f>IF(AQ92="5",BJ92,0)</f>
        <v>0</v>
      </c>
      <c r="AB92" s="420">
        <f>IF(AQ92="1",BH92,0)</f>
        <v>0</v>
      </c>
      <c r="AC92" s="420">
        <f>IF(AQ92="1",BI92,0)</f>
        <v>0</v>
      </c>
      <c r="AD92" s="420">
        <f>IF(AQ92="7",BH92,0)</f>
        <v>0</v>
      </c>
      <c r="AE92" s="420">
        <f>IF(AQ92="7",BI92,0)</f>
        <v>0</v>
      </c>
      <c r="AF92" s="420">
        <f>IF(AQ92="2",BH92,0)</f>
        <v>0</v>
      </c>
      <c r="AG92" s="420">
        <f>IF(AQ92="2",BI92,0)</f>
        <v>0</v>
      </c>
      <c r="AH92" s="420">
        <f>IF(AQ92="0",BJ92,0)</f>
        <v>0</v>
      </c>
      <c r="AI92" s="408" t="s">
        <v>654</v>
      </c>
      <c r="AJ92" s="420">
        <f>IF(AN92=0,K92,0)</f>
        <v>0</v>
      </c>
      <c r="AK92" s="420">
        <f>IF(AN92=15,K92,0)</f>
        <v>0</v>
      </c>
      <c r="AL92" s="420">
        <f>IF(AN92=21,K92,0)</f>
        <v>0</v>
      </c>
      <c r="AN92" s="420">
        <v>21</v>
      </c>
      <c r="AO92" s="420">
        <f>H92*0</f>
        <v>0</v>
      </c>
      <c r="AP92" s="420">
        <f>H92*(1-0)</f>
        <v>0</v>
      </c>
      <c r="AQ92" s="422" t="s">
        <v>657</v>
      </c>
      <c r="AV92" s="420">
        <f>AW92+AX92</f>
        <v>0</v>
      </c>
      <c r="AW92" s="420">
        <f>G92*AO92</f>
        <v>0</v>
      </c>
      <c r="AX92" s="420">
        <f>G92*AP92</f>
        <v>0</v>
      </c>
      <c r="AY92" s="422" t="s">
        <v>764</v>
      </c>
      <c r="AZ92" s="422" t="s">
        <v>670</v>
      </c>
      <c r="BA92" s="408" t="s">
        <v>662</v>
      </c>
      <c r="BC92" s="420">
        <f>AW92+AX92</f>
        <v>0</v>
      </c>
      <c r="BD92" s="420">
        <f>H92/(100-BE92)*100</f>
        <v>0</v>
      </c>
      <c r="BE92" s="420">
        <v>0</v>
      </c>
      <c r="BF92" s="420">
        <f>M92</f>
        <v>0</v>
      </c>
      <c r="BH92" s="420">
        <f>G92*AO92</f>
        <v>0</v>
      </c>
      <c r="BI92" s="420">
        <f>G92*AP92</f>
        <v>0</v>
      </c>
      <c r="BJ92" s="420">
        <f>G92*H92</f>
        <v>0</v>
      </c>
      <c r="BK92" s="420"/>
      <c r="BL92" s="420">
        <v>17</v>
      </c>
    </row>
    <row r="93" spans="1:64" ht="15" customHeight="1">
      <c r="A93" s="423"/>
      <c r="D93" s="424" t="s">
        <v>1121</v>
      </c>
      <c r="E93" s="424" t="s">
        <v>654</v>
      </c>
      <c r="G93" s="425">
        <v>172.43327000000002</v>
      </c>
      <c r="N93" s="426"/>
    </row>
    <row r="94" spans="1:64" ht="15" customHeight="1">
      <c r="A94" s="401" t="s">
        <v>784</v>
      </c>
      <c r="B94" s="402" t="s">
        <v>654</v>
      </c>
      <c r="C94" s="402" t="s">
        <v>780</v>
      </c>
      <c r="D94" s="440" t="s">
        <v>783</v>
      </c>
      <c r="E94" s="440"/>
      <c r="F94" s="402" t="s">
        <v>694</v>
      </c>
      <c r="G94" s="420">
        <v>106.88363</v>
      </c>
      <c r="H94" s="420"/>
      <c r="I94" s="420">
        <f>G94*AO94</f>
        <v>0</v>
      </c>
      <c r="J94" s="420">
        <f>G94*AP94</f>
        <v>0</v>
      </c>
      <c r="K94" s="420">
        <f>G94*H94</f>
        <v>0</v>
      </c>
      <c r="L94" s="420">
        <v>0</v>
      </c>
      <c r="M94" s="420">
        <f>G94*L94</f>
        <v>0</v>
      </c>
      <c r="N94" s="421" t="s">
        <v>1358</v>
      </c>
      <c r="Z94" s="420">
        <f>IF(AQ94="5",BJ94,0)</f>
        <v>0</v>
      </c>
      <c r="AB94" s="420">
        <f>IF(AQ94="1",BH94,0)</f>
        <v>0</v>
      </c>
      <c r="AC94" s="420">
        <f>IF(AQ94="1",BI94,0)</f>
        <v>0</v>
      </c>
      <c r="AD94" s="420">
        <f>IF(AQ94="7",BH94,0)</f>
        <v>0</v>
      </c>
      <c r="AE94" s="420">
        <f>IF(AQ94="7",BI94,0)</f>
        <v>0</v>
      </c>
      <c r="AF94" s="420">
        <f>IF(AQ94="2",BH94,0)</f>
        <v>0</v>
      </c>
      <c r="AG94" s="420">
        <f>IF(AQ94="2",BI94,0)</f>
        <v>0</v>
      </c>
      <c r="AH94" s="420">
        <f>IF(AQ94="0",BJ94,0)</f>
        <v>0</v>
      </c>
      <c r="AI94" s="408" t="s">
        <v>654</v>
      </c>
      <c r="AJ94" s="420">
        <f>IF(AN94=0,K94,0)</f>
        <v>0</v>
      </c>
      <c r="AK94" s="420">
        <f>IF(AN94=15,K94,0)</f>
        <v>0</v>
      </c>
      <c r="AL94" s="420">
        <f>IF(AN94=21,K94,0)</f>
        <v>0</v>
      </c>
      <c r="AN94" s="420">
        <v>21</v>
      </c>
      <c r="AO94" s="420">
        <f>H94*0</f>
        <v>0</v>
      </c>
      <c r="AP94" s="420">
        <f>H94*(1-0)</f>
        <v>0</v>
      </c>
      <c r="AQ94" s="422" t="s">
        <v>657</v>
      </c>
      <c r="AV94" s="420">
        <f>AW94+AX94</f>
        <v>0</v>
      </c>
      <c r="AW94" s="420">
        <f>G94*AO94</f>
        <v>0</v>
      </c>
      <c r="AX94" s="420">
        <f>G94*AP94</f>
        <v>0</v>
      </c>
      <c r="AY94" s="422" t="s">
        <v>764</v>
      </c>
      <c r="AZ94" s="422" t="s">
        <v>670</v>
      </c>
      <c r="BA94" s="408" t="s">
        <v>662</v>
      </c>
      <c r="BC94" s="420">
        <f>AW94+AX94</f>
        <v>0</v>
      </c>
      <c r="BD94" s="420">
        <f>H94/(100-BE94)*100</f>
        <v>0</v>
      </c>
      <c r="BE94" s="420">
        <v>0</v>
      </c>
      <c r="BF94" s="420">
        <f>M94</f>
        <v>0</v>
      </c>
      <c r="BH94" s="420">
        <f>G94*AO94</f>
        <v>0</v>
      </c>
      <c r="BI94" s="420">
        <f>G94*AP94</f>
        <v>0</v>
      </c>
      <c r="BJ94" s="420">
        <f>G94*H94</f>
        <v>0</v>
      </c>
      <c r="BK94" s="420"/>
      <c r="BL94" s="420">
        <v>17</v>
      </c>
    </row>
    <row r="95" spans="1:64" ht="15" customHeight="1">
      <c r="A95" s="423"/>
      <c r="D95" s="424" t="s">
        <v>1125</v>
      </c>
      <c r="E95" s="424" t="s">
        <v>654</v>
      </c>
      <c r="G95" s="425">
        <v>106.88363000000001</v>
      </c>
      <c r="N95" s="426"/>
    </row>
    <row r="96" spans="1:64" ht="15" customHeight="1">
      <c r="A96" s="401" t="s">
        <v>788</v>
      </c>
      <c r="B96" s="402" t="s">
        <v>654</v>
      </c>
      <c r="C96" s="402" t="s">
        <v>785</v>
      </c>
      <c r="D96" s="440" t="s">
        <v>786</v>
      </c>
      <c r="E96" s="440"/>
      <c r="F96" s="402" t="s">
        <v>694</v>
      </c>
      <c r="G96" s="420">
        <v>106.88363</v>
      </c>
      <c r="H96" s="420"/>
      <c r="I96" s="420">
        <f>G96*AO96</f>
        <v>0</v>
      </c>
      <c r="J96" s="420">
        <f>G96*AP96</f>
        <v>0</v>
      </c>
      <c r="K96" s="420">
        <f>G96*H96</f>
        <v>0</v>
      </c>
      <c r="L96" s="420">
        <v>0</v>
      </c>
      <c r="M96" s="420">
        <f>G96*L96</f>
        <v>0</v>
      </c>
      <c r="N96" s="421" t="s">
        <v>1358</v>
      </c>
      <c r="Z96" s="420">
        <f>IF(AQ96="5",BJ96,0)</f>
        <v>0</v>
      </c>
      <c r="AB96" s="420">
        <f>IF(AQ96="1",BH96,0)</f>
        <v>0</v>
      </c>
      <c r="AC96" s="420">
        <f>IF(AQ96="1",BI96,0)</f>
        <v>0</v>
      </c>
      <c r="AD96" s="420">
        <f>IF(AQ96="7",BH96,0)</f>
        <v>0</v>
      </c>
      <c r="AE96" s="420">
        <f>IF(AQ96="7",BI96,0)</f>
        <v>0</v>
      </c>
      <c r="AF96" s="420">
        <f>IF(AQ96="2",BH96,0)</f>
        <v>0</v>
      </c>
      <c r="AG96" s="420">
        <f>IF(AQ96="2",BI96,0)</f>
        <v>0</v>
      </c>
      <c r="AH96" s="420">
        <f>IF(AQ96="0",BJ96,0)</f>
        <v>0</v>
      </c>
      <c r="AI96" s="408" t="s">
        <v>654</v>
      </c>
      <c r="AJ96" s="420">
        <f>IF(AN96=0,K96,0)</f>
        <v>0</v>
      </c>
      <c r="AK96" s="420">
        <f>IF(AN96=15,K96,0)</f>
        <v>0</v>
      </c>
      <c r="AL96" s="420">
        <f>IF(AN96=21,K96,0)</f>
        <v>0</v>
      </c>
      <c r="AN96" s="420">
        <v>21</v>
      </c>
      <c r="AO96" s="420">
        <f>H96*0</f>
        <v>0</v>
      </c>
      <c r="AP96" s="420">
        <f>H96*(1-0)</f>
        <v>0</v>
      </c>
      <c r="AQ96" s="422" t="s">
        <v>657</v>
      </c>
      <c r="AV96" s="420">
        <f>AW96+AX96</f>
        <v>0</v>
      </c>
      <c r="AW96" s="420">
        <f>G96*AO96</f>
        <v>0</v>
      </c>
      <c r="AX96" s="420">
        <f>G96*AP96</f>
        <v>0</v>
      </c>
      <c r="AY96" s="422" t="s">
        <v>764</v>
      </c>
      <c r="AZ96" s="422" t="s">
        <v>670</v>
      </c>
      <c r="BA96" s="408" t="s">
        <v>662</v>
      </c>
      <c r="BC96" s="420">
        <f>AW96+AX96</f>
        <v>0</v>
      </c>
      <c r="BD96" s="420">
        <f>H96/(100-BE96)*100</f>
        <v>0</v>
      </c>
      <c r="BE96" s="420">
        <v>0</v>
      </c>
      <c r="BF96" s="420">
        <f>M96</f>
        <v>0</v>
      </c>
      <c r="BH96" s="420">
        <f>G96*AO96</f>
        <v>0</v>
      </c>
      <c r="BI96" s="420">
        <f>G96*AP96</f>
        <v>0</v>
      </c>
      <c r="BJ96" s="420">
        <f>G96*H96</f>
        <v>0</v>
      </c>
      <c r="BK96" s="420"/>
      <c r="BL96" s="420">
        <v>17</v>
      </c>
    </row>
    <row r="97" spans="1:64" ht="15" customHeight="1">
      <c r="A97" s="423"/>
      <c r="D97" s="424" t="s">
        <v>1139</v>
      </c>
      <c r="E97" s="424" t="s">
        <v>654</v>
      </c>
      <c r="G97" s="425">
        <v>106.88363000000001</v>
      </c>
      <c r="N97" s="426"/>
    </row>
    <row r="98" spans="1:64" ht="15" customHeight="1">
      <c r="A98" s="416" t="s">
        <v>654</v>
      </c>
      <c r="B98" s="417" t="s">
        <v>654</v>
      </c>
      <c r="C98" s="417" t="s">
        <v>743</v>
      </c>
      <c r="D98" s="455" t="s">
        <v>787</v>
      </c>
      <c r="E98" s="455"/>
      <c r="F98" s="418" t="s">
        <v>608</v>
      </c>
      <c r="G98" s="418" t="s">
        <v>608</v>
      </c>
      <c r="H98" s="418"/>
      <c r="I98" s="400">
        <f>SUM(I99:I99)</f>
        <v>0</v>
      </c>
      <c r="J98" s="400">
        <f>SUM(J99:J99)</f>
        <v>0</v>
      </c>
      <c r="K98" s="400">
        <f>SUM(K99:K99)</f>
        <v>0</v>
      </c>
      <c r="L98" s="408" t="s">
        <v>654</v>
      </c>
      <c r="M98" s="400">
        <f>SUM(M99:M99)</f>
        <v>23.8353255</v>
      </c>
      <c r="N98" s="419" t="s">
        <v>654</v>
      </c>
      <c r="AI98" s="408" t="s">
        <v>654</v>
      </c>
      <c r="AS98" s="400">
        <f>SUM(AJ99:AJ99)</f>
        <v>0</v>
      </c>
      <c r="AT98" s="400">
        <f>SUM(AK99:AK99)</f>
        <v>0</v>
      </c>
      <c r="AU98" s="400">
        <f>SUM(AL99:AL99)</f>
        <v>0</v>
      </c>
    </row>
    <row r="99" spans="1:64" ht="15" customHeight="1">
      <c r="A99" s="401" t="s">
        <v>794</v>
      </c>
      <c r="B99" s="402" t="s">
        <v>654</v>
      </c>
      <c r="C99" s="402" t="s">
        <v>789</v>
      </c>
      <c r="D99" s="440" t="s">
        <v>790</v>
      </c>
      <c r="E99" s="440"/>
      <c r="F99" s="402" t="s">
        <v>694</v>
      </c>
      <c r="G99" s="420">
        <v>12.411</v>
      </c>
      <c r="H99" s="420"/>
      <c r="I99" s="420">
        <f>G99*AO99</f>
        <v>0</v>
      </c>
      <c r="J99" s="420">
        <f>G99*AP99</f>
        <v>0</v>
      </c>
      <c r="K99" s="420">
        <f>G99*H99</f>
        <v>0</v>
      </c>
      <c r="L99" s="420">
        <v>1.9205000000000001</v>
      </c>
      <c r="M99" s="420">
        <f>G99*L99</f>
        <v>23.8353255</v>
      </c>
      <c r="N99" s="421" t="s">
        <v>1358</v>
      </c>
      <c r="Z99" s="420">
        <f>IF(AQ99="5",BJ99,0)</f>
        <v>0</v>
      </c>
      <c r="AB99" s="420">
        <f>IF(AQ99="1",BH99,0)</f>
        <v>0</v>
      </c>
      <c r="AC99" s="420">
        <f>IF(AQ99="1",BI99,0)</f>
        <v>0</v>
      </c>
      <c r="AD99" s="420">
        <f>IF(AQ99="7",BH99,0)</f>
        <v>0</v>
      </c>
      <c r="AE99" s="420">
        <f>IF(AQ99="7",BI99,0)</f>
        <v>0</v>
      </c>
      <c r="AF99" s="420">
        <f>IF(AQ99="2",BH99,0)</f>
        <v>0</v>
      </c>
      <c r="AG99" s="420">
        <f>IF(AQ99="2",BI99,0)</f>
        <v>0</v>
      </c>
      <c r="AH99" s="420">
        <f>IF(AQ99="0",BJ99,0)</f>
        <v>0</v>
      </c>
      <c r="AI99" s="408" t="s">
        <v>654</v>
      </c>
      <c r="AJ99" s="420">
        <f>IF(AN99=0,K99,0)</f>
        <v>0</v>
      </c>
      <c r="AK99" s="420">
        <f>IF(AN99=15,K99,0)</f>
        <v>0</v>
      </c>
      <c r="AL99" s="420">
        <f>IF(AN99=21,K99,0)</f>
        <v>0</v>
      </c>
      <c r="AN99" s="420">
        <v>21</v>
      </c>
      <c r="AO99" s="420">
        <f>H99*0.557458043757697</f>
        <v>0</v>
      </c>
      <c r="AP99" s="420">
        <f>H99*(1-0.557458043757697)</f>
        <v>0</v>
      </c>
      <c r="AQ99" s="422" t="s">
        <v>657</v>
      </c>
      <c r="AV99" s="420">
        <f>AW99+AX99</f>
        <v>0</v>
      </c>
      <c r="AW99" s="420">
        <f>G99*AO99</f>
        <v>0</v>
      </c>
      <c r="AX99" s="420">
        <f>G99*AP99</f>
        <v>0</v>
      </c>
      <c r="AY99" s="422" t="s">
        <v>791</v>
      </c>
      <c r="AZ99" s="422" t="s">
        <v>792</v>
      </c>
      <c r="BA99" s="408" t="s">
        <v>662</v>
      </c>
      <c r="BC99" s="420">
        <f>AW99+AX99</f>
        <v>0</v>
      </c>
      <c r="BD99" s="420">
        <f>H99/(100-BE99)*100</f>
        <v>0</v>
      </c>
      <c r="BE99" s="420">
        <v>0</v>
      </c>
      <c r="BF99" s="420">
        <f>M99</f>
        <v>23.8353255</v>
      </c>
      <c r="BH99" s="420">
        <f>G99*AO99</f>
        <v>0</v>
      </c>
      <c r="BI99" s="420">
        <f>G99*AP99</f>
        <v>0</v>
      </c>
      <c r="BJ99" s="420">
        <f>G99*H99</f>
        <v>0</v>
      </c>
      <c r="BK99" s="420"/>
      <c r="BL99" s="420">
        <v>21</v>
      </c>
    </row>
    <row r="100" spans="1:64" ht="15" customHeight="1">
      <c r="A100" s="423"/>
      <c r="D100" s="424" t="s">
        <v>1140</v>
      </c>
      <c r="E100" s="424" t="s">
        <v>654</v>
      </c>
      <c r="G100" s="425">
        <v>12.411000000000001</v>
      </c>
      <c r="N100" s="426"/>
    </row>
    <row r="101" spans="1:64" ht="15" customHeight="1">
      <c r="A101" s="416" t="s">
        <v>654</v>
      </c>
      <c r="B101" s="417" t="s">
        <v>654</v>
      </c>
      <c r="C101" s="417" t="s">
        <v>761</v>
      </c>
      <c r="D101" s="455" t="s">
        <v>793</v>
      </c>
      <c r="E101" s="455"/>
      <c r="F101" s="418" t="s">
        <v>608</v>
      </c>
      <c r="G101" s="418" t="s">
        <v>608</v>
      </c>
      <c r="H101" s="418"/>
      <c r="I101" s="400">
        <f>SUM(I102:I108)</f>
        <v>0</v>
      </c>
      <c r="J101" s="400">
        <f>SUM(J102:J108)</f>
        <v>0</v>
      </c>
      <c r="K101" s="400">
        <f>SUM(K102:K108)</f>
        <v>0</v>
      </c>
      <c r="L101" s="408" t="s">
        <v>654</v>
      </c>
      <c r="M101" s="400">
        <f>SUM(M102:M108)</f>
        <v>4.7636424744000001</v>
      </c>
      <c r="N101" s="419" t="s">
        <v>654</v>
      </c>
      <c r="AI101" s="408" t="s">
        <v>654</v>
      </c>
      <c r="AS101" s="400">
        <f>SUM(AJ102:AJ108)</f>
        <v>0</v>
      </c>
      <c r="AT101" s="400">
        <f>SUM(AK102:AK108)</f>
        <v>0</v>
      </c>
      <c r="AU101" s="400">
        <f>SUM(AL102:AL108)</f>
        <v>0</v>
      </c>
    </row>
    <row r="102" spans="1:64" ht="15" customHeight="1">
      <c r="A102" s="401" t="s">
        <v>799</v>
      </c>
      <c r="B102" s="402" t="s">
        <v>654</v>
      </c>
      <c r="C102" s="402" t="s">
        <v>1141</v>
      </c>
      <c r="D102" s="440" t="s">
        <v>1142</v>
      </c>
      <c r="E102" s="440"/>
      <c r="F102" s="402" t="s">
        <v>694</v>
      </c>
      <c r="G102" s="420">
        <v>1.8134999999999999</v>
      </c>
      <c r="H102" s="420"/>
      <c r="I102" s="420">
        <f>G102*AO102</f>
        <v>0</v>
      </c>
      <c r="J102" s="420">
        <f>G102*AP102</f>
        <v>0</v>
      </c>
      <c r="K102" s="420">
        <f>G102*H102</f>
        <v>0</v>
      </c>
      <c r="L102" s="420">
        <v>2.5249999999999999</v>
      </c>
      <c r="M102" s="420">
        <f>G102*L102</f>
        <v>4.5790875</v>
      </c>
      <c r="N102" s="421" t="s">
        <v>1358</v>
      </c>
      <c r="Z102" s="420">
        <f>IF(AQ102="5",BJ102,0)</f>
        <v>0</v>
      </c>
      <c r="AB102" s="420">
        <f>IF(AQ102="1",BH102,0)</f>
        <v>0</v>
      </c>
      <c r="AC102" s="420">
        <f>IF(AQ102="1",BI102,0)</f>
        <v>0</v>
      </c>
      <c r="AD102" s="420">
        <f>IF(AQ102="7",BH102,0)</f>
        <v>0</v>
      </c>
      <c r="AE102" s="420">
        <f>IF(AQ102="7",BI102,0)</f>
        <v>0</v>
      </c>
      <c r="AF102" s="420">
        <f>IF(AQ102="2",BH102,0)</f>
        <v>0</v>
      </c>
      <c r="AG102" s="420">
        <f>IF(AQ102="2",BI102,0)</f>
        <v>0</v>
      </c>
      <c r="AH102" s="420">
        <f>IF(AQ102="0",BJ102,0)</f>
        <v>0</v>
      </c>
      <c r="AI102" s="408" t="s">
        <v>654</v>
      </c>
      <c r="AJ102" s="420">
        <f>IF(AN102=0,K102,0)</f>
        <v>0</v>
      </c>
      <c r="AK102" s="420">
        <f>IF(AN102=15,K102,0)</f>
        <v>0</v>
      </c>
      <c r="AL102" s="420">
        <f>IF(AN102=21,K102,0)</f>
        <v>0</v>
      </c>
      <c r="AN102" s="420">
        <v>21</v>
      </c>
      <c r="AO102" s="420">
        <f>H102*0.896032258064516</f>
        <v>0</v>
      </c>
      <c r="AP102" s="420">
        <f>H102*(1-0.896032258064516)</f>
        <v>0</v>
      </c>
      <c r="AQ102" s="422" t="s">
        <v>657</v>
      </c>
      <c r="AV102" s="420">
        <f>AW102+AX102</f>
        <v>0</v>
      </c>
      <c r="AW102" s="420">
        <f>G102*AO102</f>
        <v>0</v>
      </c>
      <c r="AX102" s="420">
        <f>G102*AP102</f>
        <v>0</v>
      </c>
      <c r="AY102" s="422" t="s">
        <v>797</v>
      </c>
      <c r="AZ102" s="422" t="s">
        <v>792</v>
      </c>
      <c r="BA102" s="408" t="s">
        <v>662</v>
      </c>
      <c r="BC102" s="420">
        <f>AW102+AX102</f>
        <v>0</v>
      </c>
      <c r="BD102" s="420">
        <f>H102/(100-BE102)*100</f>
        <v>0</v>
      </c>
      <c r="BE102" s="420">
        <v>0</v>
      </c>
      <c r="BF102" s="420">
        <f>M102</f>
        <v>4.5790875</v>
      </c>
      <c r="BH102" s="420">
        <f>G102*AO102</f>
        <v>0</v>
      </c>
      <c r="BI102" s="420">
        <f>G102*AP102</f>
        <v>0</v>
      </c>
      <c r="BJ102" s="420">
        <f>G102*H102</f>
        <v>0</v>
      </c>
      <c r="BK102" s="420"/>
      <c r="BL102" s="420">
        <v>27</v>
      </c>
    </row>
    <row r="103" spans="1:64" ht="15" customHeight="1">
      <c r="A103" s="423"/>
      <c r="D103" s="424" t="s">
        <v>1143</v>
      </c>
      <c r="E103" s="424" t="s">
        <v>654</v>
      </c>
      <c r="G103" s="425">
        <v>1.8135000000000001</v>
      </c>
      <c r="N103" s="426"/>
    </row>
    <row r="104" spans="1:64" ht="15" customHeight="1">
      <c r="A104" s="401" t="s">
        <v>803</v>
      </c>
      <c r="B104" s="402" t="s">
        <v>654</v>
      </c>
      <c r="C104" s="402" t="s">
        <v>800</v>
      </c>
      <c r="D104" s="440" t="s">
        <v>801</v>
      </c>
      <c r="E104" s="440"/>
      <c r="F104" s="402" t="s">
        <v>40</v>
      </c>
      <c r="G104" s="420">
        <v>2.1</v>
      </c>
      <c r="H104" s="420"/>
      <c r="I104" s="420">
        <f>G104*AO104</f>
        <v>0</v>
      </c>
      <c r="J104" s="420">
        <f>G104*AP104</f>
        <v>0</v>
      </c>
      <c r="K104" s="420">
        <f>G104*H104</f>
        <v>0</v>
      </c>
      <c r="L104" s="420">
        <v>3.9199999999999999E-2</v>
      </c>
      <c r="M104" s="420">
        <f>G104*L104</f>
        <v>8.2320000000000004E-2</v>
      </c>
      <c r="N104" s="421" t="s">
        <v>1358</v>
      </c>
      <c r="Z104" s="420">
        <f>IF(AQ104="5",BJ104,0)</f>
        <v>0</v>
      </c>
      <c r="AB104" s="420">
        <f>IF(AQ104="1",BH104,0)</f>
        <v>0</v>
      </c>
      <c r="AC104" s="420">
        <f>IF(AQ104="1",BI104,0)</f>
        <v>0</v>
      </c>
      <c r="AD104" s="420">
        <f>IF(AQ104="7",BH104,0)</f>
        <v>0</v>
      </c>
      <c r="AE104" s="420">
        <f>IF(AQ104="7",BI104,0)</f>
        <v>0</v>
      </c>
      <c r="AF104" s="420">
        <f>IF(AQ104="2",BH104,0)</f>
        <v>0</v>
      </c>
      <c r="AG104" s="420">
        <f>IF(AQ104="2",BI104,0)</f>
        <v>0</v>
      </c>
      <c r="AH104" s="420">
        <f>IF(AQ104="0",BJ104,0)</f>
        <v>0</v>
      </c>
      <c r="AI104" s="408" t="s">
        <v>654</v>
      </c>
      <c r="AJ104" s="420">
        <f>IF(AN104=0,K104,0)</f>
        <v>0</v>
      </c>
      <c r="AK104" s="420">
        <f>IF(AN104=15,K104,0)</f>
        <v>0</v>
      </c>
      <c r="AL104" s="420">
        <f>IF(AN104=21,K104,0)</f>
        <v>0</v>
      </c>
      <c r="AN104" s="420">
        <v>21</v>
      </c>
      <c r="AO104" s="420">
        <f>H104*0.256722338204593</f>
        <v>0</v>
      </c>
      <c r="AP104" s="420">
        <f>H104*(1-0.256722338204593)</f>
        <v>0</v>
      </c>
      <c r="AQ104" s="422" t="s">
        <v>657</v>
      </c>
      <c r="AV104" s="420">
        <f>AW104+AX104</f>
        <v>0</v>
      </c>
      <c r="AW104" s="420">
        <f>G104*AO104</f>
        <v>0</v>
      </c>
      <c r="AX104" s="420">
        <f>G104*AP104</f>
        <v>0</v>
      </c>
      <c r="AY104" s="422" t="s">
        <v>797</v>
      </c>
      <c r="AZ104" s="422" t="s">
        <v>792</v>
      </c>
      <c r="BA104" s="408" t="s">
        <v>662</v>
      </c>
      <c r="BC104" s="420">
        <f>AW104+AX104</f>
        <v>0</v>
      </c>
      <c r="BD104" s="420">
        <f>H104/(100-BE104)*100</f>
        <v>0</v>
      </c>
      <c r="BE104" s="420">
        <v>0</v>
      </c>
      <c r="BF104" s="420">
        <f>M104</f>
        <v>8.2320000000000004E-2</v>
      </c>
      <c r="BH104" s="420">
        <f>G104*AO104</f>
        <v>0</v>
      </c>
      <c r="BI104" s="420">
        <f>G104*AP104</f>
        <v>0</v>
      </c>
      <c r="BJ104" s="420">
        <f>G104*H104</f>
        <v>0</v>
      </c>
      <c r="BK104" s="420"/>
      <c r="BL104" s="420">
        <v>27</v>
      </c>
    </row>
    <row r="105" spans="1:64" ht="15" customHeight="1">
      <c r="A105" s="423"/>
      <c r="D105" s="424" t="s">
        <v>1144</v>
      </c>
      <c r="E105" s="424" t="s">
        <v>654</v>
      </c>
      <c r="G105" s="425">
        <v>2.1</v>
      </c>
      <c r="N105" s="426"/>
    </row>
    <row r="106" spans="1:64" ht="15" customHeight="1">
      <c r="A106" s="401" t="s">
        <v>809</v>
      </c>
      <c r="B106" s="402" t="s">
        <v>654</v>
      </c>
      <c r="C106" s="402" t="s">
        <v>804</v>
      </c>
      <c r="D106" s="440" t="s">
        <v>805</v>
      </c>
      <c r="E106" s="440"/>
      <c r="F106" s="402" t="s">
        <v>40</v>
      </c>
      <c r="G106" s="420">
        <v>2.1</v>
      </c>
      <c r="H106" s="420"/>
      <c r="I106" s="420">
        <f>G106*AO106</f>
        <v>0</v>
      </c>
      <c r="J106" s="420">
        <f>G106*AP106</f>
        <v>0</v>
      </c>
      <c r="K106" s="420">
        <f>G106*H106</f>
        <v>0</v>
      </c>
      <c r="L106" s="420">
        <v>0</v>
      </c>
      <c r="M106" s="420">
        <f>G106*L106</f>
        <v>0</v>
      </c>
      <c r="N106" s="421" t="s">
        <v>1358</v>
      </c>
      <c r="Z106" s="420">
        <f>IF(AQ106="5",BJ106,0)</f>
        <v>0</v>
      </c>
      <c r="AB106" s="420">
        <f>IF(AQ106="1",BH106,0)</f>
        <v>0</v>
      </c>
      <c r="AC106" s="420">
        <f>IF(AQ106="1",BI106,0)</f>
        <v>0</v>
      </c>
      <c r="AD106" s="420">
        <f>IF(AQ106="7",BH106,0)</f>
        <v>0</v>
      </c>
      <c r="AE106" s="420">
        <f>IF(AQ106="7",BI106,0)</f>
        <v>0</v>
      </c>
      <c r="AF106" s="420">
        <f>IF(AQ106="2",BH106,0)</f>
        <v>0</v>
      </c>
      <c r="AG106" s="420">
        <f>IF(AQ106="2",BI106,0)</f>
        <v>0</v>
      </c>
      <c r="AH106" s="420">
        <f>IF(AQ106="0",BJ106,0)</f>
        <v>0</v>
      </c>
      <c r="AI106" s="408" t="s">
        <v>654</v>
      </c>
      <c r="AJ106" s="420">
        <f>IF(AN106=0,K106,0)</f>
        <v>0</v>
      </c>
      <c r="AK106" s="420">
        <f>IF(AN106=15,K106,0)</f>
        <v>0</v>
      </c>
      <c r="AL106" s="420">
        <f>IF(AN106=21,K106,0)</f>
        <v>0</v>
      </c>
      <c r="AN106" s="420">
        <v>21</v>
      </c>
      <c r="AO106" s="420">
        <f>H106*0</f>
        <v>0</v>
      </c>
      <c r="AP106" s="420">
        <f>H106*(1-0)</f>
        <v>0</v>
      </c>
      <c r="AQ106" s="422" t="s">
        <v>657</v>
      </c>
      <c r="AV106" s="420">
        <f>AW106+AX106</f>
        <v>0</v>
      </c>
      <c r="AW106" s="420">
        <f>G106*AO106</f>
        <v>0</v>
      </c>
      <c r="AX106" s="420">
        <f>G106*AP106</f>
        <v>0</v>
      </c>
      <c r="AY106" s="422" t="s">
        <v>797</v>
      </c>
      <c r="AZ106" s="422" t="s">
        <v>792</v>
      </c>
      <c r="BA106" s="408" t="s">
        <v>662</v>
      </c>
      <c r="BC106" s="420">
        <f>AW106+AX106</f>
        <v>0</v>
      </c>
      <c r="BD106" s="420">
        <f>H106/(100-BE106)*100</f>
        <v>0</v>
      </c>
      <c r="BE106" s="420">
        <v>0</v>
      </c>
      <c r="BF106" s="420">
        <f>M106</f>
        <v>0</v>
      </c>
      <c r="BH106" s="420">
        <f>G106*AO106</f>
        <v>0</v>
      </c>
      <c r="BI106" s="420">
        <f>G106*AP106</f>
        <v>0</v>
      </c>
      <c r="BJ106" s="420">
        <f>G106*H106</f>
        <v>0</v>
      </c>
      <c r="BK106" s="420"/>
      <c r="BL106" s="420">
        <v>27</v>
      </c>
    </row>
    <row r="107" spans="1:64" ht="15" customHeight="1">
      <c r="A107" s="423"/>
      <c r="D107" s="424" t="s">
        <v>1145</v>
      </c>
      <c r="E107" s="424" t="s">
        <v>654</v>
      </c>
      <c r="G107" s="425">
        <v>2.1</v>
      </c>
      <c r="N107" s="426"/>
    </row>
    <row r="108" spans="1:64" ht="15" customHeight="1">
      <c r="A108" s="401" t="s">
        <v>819</v>
      </c>
      <c r="B108" s="402" t="s">
        <v>654</v>
      </c>
      <c r="C108" s="402" t="s">
        <v>1146</v>
      </c>
      <c r="D108" s="440" t="s">
        <v>1147</v>
      </c>
      <c r="E108" s="440"/>
      <c r="F108" s="402" t="s">
        <v>10</v>
      </c>
      <c r="G108" s="420">
        <v>9.672E-2</v>
      </c>
      <c r="H108" s="420"/>
      <c r="I108" s="420">
        <f>G108*AO108</f>
        <v>0</v>
      </c>
      <c r="J108" s="420">
        <f>G108*AP108</f>
        <v>0</v>
      </c>
      <c r="K108" s="420">
        <f>G108*H108</f>
        <v>0</v>
      </c>
      <c r="L108" s="420">
        <v>1.0570200000000001</v>
      </c>
      <c r="M108" s="420">
        <f>G108*L108</f>
        <v>0.10223497440000001</v>
      </c>
      <c r="N108" s="421" t="s">
        <v>1358</v>
      </c>
      <c r="Z108" s="420">
        <f>IF(AQ108="5",BJ108,0)</f>
        <v>0</v>
      </c>
      <c r="AB108" s="420">
        <f>IF(AQ108="1",BH108,0)</f>
        <v>0</v>
      </c>
      <c r="AC108" s="420">
        <f>IF(AQ108="1",BI108,0)</f>
        <v>0</v>
      </c>
      <c r="AD108" s="420">
        <f>IF(AQ108="7",BH108,0)</f>
        <v>0</v>
      </c>
      <c r="AE108" s="420">
        <f>IF(AQ108="7",BI108,0)</f>
        <v>0</v>
      </c>
      <c r="AF108" s="420">
        <f>IF(AQ108="2",BH108,0)</f>
        <v>0</v>
      </c>
      <c r="AG108" s="420">
        <f>IF(AQ108="2",BI108,0)</f>
        <v>0</v>
      </c>
      <c r="AH108" s="420">
        <f>IF(AQ108="0",BJ108,0)</f>
        <v>0</v>
      </c>
      <c r="AI108" s="408" t="s">
        <v>654</v>
      </c>
      <c r="AJ108" s="420">
        <f>IF(AN108=0,K108,0)</f>
        <v>0</v>
      </c>
      <c r="AK108" s="420">
        <f>IF(AN108=15,K108,0)</f>
        <v>0</v>
      </c>
      <c r="AL108" s="420">
        <f>IF(AN108=21,K108,0)</f>
        <v>0</v>
      </c>
      <c r="AN108" s="420">
        <v>21</v>
      </c>
      <c r="AO108" s="420">
        <f>H108*0.838282762948686</f>
        <v>0</v>
      </c>
      <c r="AP108" s="420">
        <f>H108*(1-0.838282762948686)</f>
        <v>0</v>
      </c>
      <c r="AQ108" s="422" t="s">
        <v>657</v>
      </c>
      <c r="AV108" s="420">
        <f>AW108+AX108</f>
        <v>0</v>
      </c>
      <c r="AW108" s="420">
        <f>G108*AO108</f>
        <v>0</v>
      </c>
      <c r="AX108" s="420">
        <f>G108*AP108</f>
        <v>0</v>
      </c>
      <c r="AY108" s="422" t="s">
        <v>797</v>
      </c>
      <c r="AZ108" s="422" t="s">
        <v>792</v>
      </c>
      <c r="BA108" s="408" t="s">
        <v>662</v>
      </c>
      <c r="BC108" s="420">
        <f>AW108+AX108</f>
        <v>0</v>
      </c>
      <c r="BD108" s="420">
        <f>H108/(100-BE108)*100</f>
        <v>0</v>
      </c>
      <c r="BE108" s="420">
        <v>0</v>
      </c>
      <c r="BF108" s="420">
        <f>M108</f>
        <v>0.10223497440000001</v>
      </c>
      <c r="BH108" s="420">
        <f>G108*AO108</f>
        <v>0</v>
      </c>
      <c r="BI108" s="420">
        <f>G108*AP108</f>
        <v>0</v>
      </c>
      <c r="BJ108" s="420">
        <f>G108*H108</f>
        <v>0</v>
      </c>
      <c r="BK108" s="420"/>
      <c r="BL108" s="420">
        <v>27</v>
      </c>
    </row>
    <row r="109" spans="1:64" ht="15" customHeight="1">
      <c r="A109" s="423"/>
      <c r="D109" s="424" t="s">
        <v>1148</v>
      </c>
      <c r="E109" s="424" t="s">
        <v>654</v>
      </c>
      <c r="G109" s="425">
        <v>9.6720000000000014E-2</v>
      </c>
      <c r="N109" s="426"/>
    </row>
    <row r="110" spans="1:64" ht="15" customHeight="1">
      <c r="A110" s="416" t="s">
        <v>654</v>
      </c>
      <c r="B110" s="417" t="s">
        <v>654</v>
      </c>
      <c r="C110" s="417" t="s">
        <v>807</v>
      </c>
      <c r="D110" s="455" t="s">
        <v>808</v>
      </c>
      <c r="E110" s="455"/>
      <c r="F110" s="418" t="s">
        <v>608</v>
      </c>
      <c r="G110" s="418" t="s">
        <v>608</v>
      </c>
      <c r="H110" s="418"/>
      <c r="I110" s="400">
        <f>SUM(I111:I113)</f>
        <v>0</v>
      </c>
      <c r="J110" s="400">
        <f>SUM(J111:J113)</f>
        <v>0</v>
      </c>
      <c r="K110" s="400">
        <f>SUM(K111:K113)</f>
        <v>0</v>
      </c>
      <c r="L110" s="408" t="s">
        <v>654</v>
      </c>
      <c r="M110" s="400">
        <f>SUM(M111:M113)</f>
        <v>0</v>
      </c>
      <c r="N110" s="419" t="s">
        <v>654</v>
      </c>
      <c r="AI110" s="408" t="s">
        <v>654</v>
      </c>
      <c r="AS110" s="400">
        <f>SUM(AJ111:AJ113)</f>
        <v>0</v>
      </c>
      <c r="AT110" s="400">
        <f>SUM(AK111:AK113)</f>
        <v>0</v>
      </c>
      <c r="AU110" s="400">
        <f>SUM(AL111:AL113)</f>
        <v>0</v>
      </c>
    </row>
    <row r="111" spans="1:64" ht="15" customHeight="1">
      <c r="A111" s="401" t="s">
        <v>825</v>
      </c>
      <c r="B111" s="402" t="s">
        <v>654</v>
      </c>
      <c r="C111" s="402" t="s">
        <v>810</v>
      </c>
      <c r="D111" s="440" t="s">
        <v>1149</v>
      </c>
      <c r="E111" s="440"/>
      <c r="F111" s="402" t="s">
        <v>14</v>
      </c>
      <c r="G111" s="420">
        <v>1</v>
      </c>
      <c r="H111" s="420"/>
      <c r="I111" s="420">
        <f>G111*AO111</f>
        <v>0</v>
      </c>
      <c r="J111" s="420">
        <f>G111*AP111</f>
        <v>0</v>
      </c>
      <c r="K111" s="420">
        <f>G111*H111</f>
        <v>0</v>
      </c>
      <c r="L111" s="420">
        <v>0</v>
      </c>
      <c r="M111" s="420">
        <f>G111*L111</f>
        <v>0</v>
      </c>
      <c r="N111" s="421" t="s">
        <v>654</v>
      </c>
      <c r="Z111" s="420">
        <f>IF(AQ111="5",BJ111,0)</f>
        <v>0</v>
      </c>
      <c r="AB111" s="420">
        <f>IF(AQ111="1",BH111,0)</f>
        <v>0</v>
      </c>
      <c r="AC111" s="420">
        <f>IF(AQ111="1",BI111,0)</f>
        <v>0</v>
      </c>
      <c r="AD111" s="420">
        <f>IF(AQ111="7",BH111,0)</f>
        <v>0</v>
      </c>
      <c r="AE111" s="420">
        <f>IF(AQ111="7",BI111,0)</f>
        <v>0</v>
      </c>
      <c r="AF111" s="420">
        <f>IF(AQ111="2",BH111,0)</f>
        <v>0</v>
      </c>
      <c r="AG111" s="420">
        <f>IF(AQ111="2",BI111,0)</f>
        <v>0</v>
      </c>
      <c r="AH111" s="420">
        <f>IF(AQ111="0",BJ111,0)</f>
        <v>0</v>
      </c>
      <c r="AI111" s="408" t="s">
        <v>654</v>
      </c>
      <c r="AJ111" s="420">
        <f>IF(AN111=0,K111,0)</f>
        <v>0</v>
      </c>
      <c r="AK111" s="420">
        <f>IF(AN111=15,K111,0)</f>
        <v>0</v>
      </c>
      <c r="AL111" s="420">
        <f>IF(AN111=21,K111,0)</f>
        <v>0</v>
      </c>
      <c r="AN111" s="420">
        <v>21</v>
      </c>
      <c r="AO111" s="420">
        <f>H111*0.333333333333333</f>
        <v>0</v>
      </c>
      <c r="AP111" s="420">
        <f>H111*(1-0.333333333333333)</f>
        <v>0</v>
      </c>
      <c r="AQ111" s="422" t="s">
        <v>657</v>
      </c>
      <c r="AV111" s="420">
        <f>AW111+AX111</f>
        <v>0</v>
      </c>
      <c r="AW111" s="420">
        <f>G111*AO111</f>
        <v>0</v>
      </c>
      <c r="AX111" s="420">
        <f>G111*AP111</f>
        <v>0</v>
      </c>
      <c r="AY111" s="422" t="s">
        <v>812</v>
      </c>
      <c r="AZ111" s="422" t="s">
        <v>813</v>
      </c>
      <c r="BA111" s="408" t="s">
        <v>662</v>
      </c>
      <c r="BC111" s="420">
        <f>AW111+AX111</f>
        <v>0</v>
      </c>
      <c r="BD111" s="420">
        <f>H111/(100-BE111)*100</f>
        <v>0</v>
      </c>
      <c r="BE111" s="420">
        <v>0</v>
      </c>
      <c r="BF111" s="420">
        <f>M111</f>
        <v>0</v>
      </c>
      <c r="BH111" s="420">
        <f>G111*AO111</f>
        <v>0</v>
      </c>
      <c r="BI111" s="420">
        <f>G111*AP111</f>
        <v>0</v>
      </c>
      <c r="BJ111" s="420">
        <f>G111*H111</f>
        <v>0</v>
      </c>
      <c r="BK111" s="420"/>
      <c r="BL111" s="420">
        <v>343</v>
      </c>
    </row>
    <row r="112" spans="1:64" ht="15" customHeight="1">
      <c r="A112" s="423"/>
      <c r="D112" s="424" t="s">
        <v>1150</v>
      </c>
      <c r="E112" s="424" t="s">
        <v>654</v>
      </c>
      <c r="G112" s="425">
        <v>1</v>
      </c>
      <c r="N112" s="426"/>
    </row>
    <row r="113" spans="1:64" ht="15" customHeight="1">
      <c r="A113" s="401" t="s">
        <v>830</v>
      </c>
      <c r="B113" s="402" t="s">
        <v>654</v>
      </c>
      <c r="C113" s="402" t="s">
        <v>1151</v>
      </c>
      <c r="D113" s="440" t="s">
        <v>1152</v>
      </c>
      <c r="E113" s="440"/>
      <c r="F113" s="402" t="s">
        <v>14</v>
      </c>
      <c r="G113" s="420">
        <v>3</v>
      </c>
      <c r="H113" s="420"/>
      <c r="I113" s="420">
        <f>G113*AO113</f>
        <v>0</v>
      </c>
      <c r="J113" s="420">
        <f>G113*AP113</f>
        <v>0</v>
      </c>
      <c r="K113" s="420">
        <f>G113*H113</f>
        <v>0</v>
      </c>
      <c r="L113" s="420">
        <v>0</v>
      </c>
      <c r="M113" s="420">
        <f>G113*L113</f>
        <v>0</v>
      </c>
      <c r="N113" s="421" t="s">
        <v>654</v>
      </c>
      <c r="Z113" s="420">
        <f>IF(AQ113="5",BJ113,0)</f>
        <v>0</v>
      </c>
      <c r="AB113" s="420">
        <f>IF(AQ113="1",BH113,0)</f>
        <v>0</v>
      </c>
      <c r="AC113" s="420">
        <f>IF(AQ113="1",BI113,0)</f>
        <v>0</v>
      </c>
      <c r="AD113" s="420">
        <f>IF(AQ113="7",BH113,0)</f>
        <v>0</v>
      </c>
      <c r="AE113" s="420">
        <f>IF(AQ113="7",BI113,0)</f>
        <v>0</v>
      </c>
      <c r="AF113" s="420">
        <f>IF(AQ113="2",BH113,0)</f>
        <v>0</v>
      </c>
      <c r="AG113" s="420">
        <f>IF(AQ113="2",BI113,0)</f>
        <v>0</v>
      </c>
      <c r="AH113" s="420">
        <f>IF(AQ113="0",BJ113,0)</f>
        <v>0</v>
      </c>
      <c r="AI113" s="408" t="s">
        <v>654</v>
      </c>
      <c r="AJ113" s="420">
        <f>IF(AN113=0,K113,0)</f>
        <v>0</v>
      </c>
      <c r="AK113" s="420">
        <f>IF(AN113=15,K113,0)</f>
        <v>0</v>
      </c>
      <c r="AL113" s="420">
        <f>IF(AN113=21,K113,0)</f>
        <v>0</v>
      </c>
      <c r="AN113" s="420">
        <v>21</v>
      </c>
      <c r="AO113" s="420">
        <f>H113*0.666666666666667</f>
        <v>0</v>
      </c>
      <c r="AP113" s="420">
        <f>H113*(1-0.666666666666667)</f>
        <v>0</v>
      </c>
      <c r="AQ113" s="422" t="s">
        <v>657</v>
      </c>
      <c r="AV113" s="420">
        <f>AW113+AX113</f>
        <v>0</v>
      </c>
      <c r="AW113" s="420">
        <f>G113*AO113</f>
        <v>0</v>
      </c>
      <c r="AX113" s="420">
        <f>G113*AP113</f>
        <v>0</v>
      </c>
      <c r="AY113" s="422" t="s">
        <v>812</v>
      </c>
      <c r="AZ113" s="422" t="s">
        <v>813</v>
      </c>
      <c r="BA113" s="408" t="s">
        <v>662</v>
      </c>
      <c r="BC113" s="420">
        <f>AW113+AX113</f>
        <v>0</v>
      </c>
      <c r="BD113" s="420">
        <f>H113/(100-BE113)*100</f>
        <v>0</v>
      </c>
      <c r="BE113" s="420">
        <v>0</v>
      </c>
      <c r="BF113" s="420">
        <f>M113</f>
        <v>0</v>
      </c>
      <c r="BH113" s="420">
        <f>G113*AO113</f>
        <v>0</v>
      </c>
      <c r="BI113" s="420">
        <f>G113*AP113</f>
        <v>0</v>
      </c>
      <c r="BJ113" s="420">
        <f>G113*H113</f>
        <v>0</v>
      </c>
      <c r="BK113" s="420"/>
      <c r="BL113" s="420">
        <v>343</v>
      </c>
    </row>
    <row r="114" spans="1:64" ht="15" customHeight="1">
      <c r="A114" s="423"/>
      <c r="D114" s="424" t="s">
        <v>1153</v>
      </c>
      <c r="E114" s="424" t="s">
        <v>654</v>
      </c>
      <c r="G114" s="425">
        <v>3.0000000000000004</v>
      </c>
      <c r="N114" s="426"/>
    </row>
    <row r="115" spans="1:64" ht="15" customHeight="1">
      <c r="A115" s="416" t="s">
        <v>654</v>
      </c>
      <c r="B115" s="417" t="s">
        <v>654</v>
      </c>
      <c r="C115" s="417" t="s">
        <v>817</v>
      </c>
      <c r="D115" s="455" t="s">
        <v>818</v>
      </c>
      <c r="E115" s="455"/>
      <c r="F115" s="418" t="s">
        <v>608</v>
      </c>
      <c r="G115" s="418" t="s">
        <v>608</v>
      </c>
      <c r="H115" s="418"/>
      <c r="I115" s="400">
        <f>SUM(I116:I118)</f>
        <v>0</v>
      </c>
      <c r="J115" s="400">
        <f>SUM(J116:J118)</f>
        <v>0</v>
      </c>
      <c r="K115" s="400">
        <f>SUM(K116:K118)</f>
        <v>0</v>
      </c>
      <c r="L115" s="408" t="s">
        <v>654</v>
      </c>
      <c r="M115" s="400">
        <f>SUM(M116:M118)</f>
        <v>39.110577450000001</v>
      </c>
      <c r="N115" s="419" t="s">
        <v>654</v>
      </c>
      <c r="AI115" s="408" t="s">
        <v>654</v>
      </c>
      <c r="AS115" s="400">
        <f>SUM(AJ116:AJ118)</f>
        <v>0</v>
      </c>
      <c r="AT115" s="400">
        <f>SUM(AK116:AK118)</f>
        <v>0</v>
      </c>
      <c r="AU115" s="400">
        <f>SUM(AL116:AL118)</f>
        <v>0</v>
      </c>
    </row>
    <row r="116" spans="1:64" ht="15" customHeight="1">
      <c r="A116" s="401" t="s">
        <v>834</v>
      </c>
      <c r="B116" s="402" t="s">
        <v>654</v>
      </c>
      <c r="C116" s="402" t="s">
        <v>820</v>
      </c>
      <c r="D116" s="440" t="s">
        <v>821</v>
      </c>
      <c r="E116" s="440"/>
      <c r="F116" s="402" t="s">
        <v>694</v>
      </c>
      <c r="G116" s="420">
        <v>20.684999999999999</v>
      </c>
      <c r="H116" s="420"/>
      <c r="I116" s="420">
        <f>G116*AO116</f>
        <v>0</v>
      </c>
      <c r="J116" s="420">
        <f>G116*AP116</f>
        <v>0</v>
      </c>
      <c r="K116" s="420">
        <f>G116*H116</f>
        <v>0</v>
      </c>
      <c r="L116" s="420">
        <v>1.8907700000000001</v>
      </c>
      <c r="M116" s="420">
        <f>G116*L116</f>
        <v>39.110577450000001</v>
      </c>
      <c r="N116" s="421" t="s">
        <v>1358</v>
      </c>
      <c r="Z116" s="420">
        <f>IF(AQ116="5",BJ116,0)</f>
        <v>0</v>
      </c>
      <c r="AB116" s="420">
        <f>IF(AQ116="1",BH116,0)</f>
        <v>0</v>
      </c>
      <c r="AC116" s="420">
        <f>IF(AQ116="1",BI116,0)</f>
        <v>0</v>
      </c>
      <c r="AD116" s="420">
        <f>IF(AQ116="7",BH116,0)</f>
        <v>0</v>
      </c>
      <c r="AE116" s="420">
        <f>IF(AQ116="7",BI116,0)</f>
        <v>0</v>
      </c>
      <c r="AF116" s="420">
        <f>IF(AQ116="2",BH116,0)</f>
        <v>0</v>
      </c>
      <c r="AG116" s="420">
        <f>IF(AQ116="2",BI116,0)</f>
        <v>0</v>
      </c>
      <c r="AH116" s="420">
        <f>IF(AQ116="0",BJ116,0)</f>
        <v>0</v>
      </c>
      <c r="AI116" s="408" t="s">
        <v>654</v>
      </c>
      <c r="AJ116" s="420">
        <f>IF(AN116=0,K116,0)</f>
        <v>0</v>
      </c>
      <c r="AK116" s="420">
        <f>IF(AN116=15,K116,0)</f>
        <v>0</v>
      </c>
      <c r="AL116" s="420">
        <f>IF(AN116=21,K116,0)</f>
        <v>0</v>
      </c>
      <c r="AN116" s="420">
        <v>21</v>
      </c>
      <c r="AO116" s="420">
        <f>H116*0.480904558404558</f>
        <v>0</v>
      </c>
      <c r="AP116" s="420">
        <f>H116*(1-0.480904558404558)</f>
        <v>0</v>
      </c>
      <c r="AQ116" s="422" t="s">
        <v>657</v>
      </c>
      <c r="AV116" s="420">
        <f>AW116+AX116</f>
        <v>0</v>
      </c>
      <c r="AW116" s="420">
        <f>G116*AO116</f>
        <v>0</v>
      </c>
      <c r="AX116" s="420">
        <f>G116*AP116</f>
        <v>0</v>
      </c>
      <c r="AY116" s="422" t="s">
        <v>822</v>
      </c>
      <c r="AZ116" s="422" t="s">
        <v>823</v>
      </c>
      <c r="BA116" s="408" t="s">
        <v>662</v>
      </c>
      <c r="BC116" s="420">
        <f>AW116+AX116</f>
        <v>0</v>
      </c>
      <c r="BD116" s="420">
        <f>H116/(100-BE116)*100</f>
        <v>0</v>
      </c>
      <c r="BE116" s="420">
        <v>0</v>
      </c>
      <c r="BF116" s="420">
        <f>M116</f>
        <v>39.110577450000001</v>
      </c>
      <c r="BH116" s="420">
        <f>G116*AO116</f>
        <v>0</v>
      </c>
      <c r="BI116" s="420">
        <f>G116*AP116</f>
        <v>0</v>
      </c>
      <c r="BJ116" s="420">
        <f>G116*H116</f>
        <v>0</v>
      </c>
      <c r="BK116" s="420"/>
      <c r="BL116" s="420">
        <v>45</v>
      </c>
    </row>
    <row r="117" spans="1:64" ht="15" customHeight="1">
      <c r="A117" s="423"/>
      <c r="D117" s="424" t="s">
        <v>1154</v>
      </c>
      <c r="E117" s="424" t="s">
        <v>654</v>
      </c>
      <c r="G117" s="425">
        <v>20.685000000000002</v>
      </c>
      <c r="N117" s="426"/>
    </row>
    <row r="118" spans="1:64" ht="15" customHeight="1">
      <c r="A118" s="401" t="s">
        <v>837</v>
      </c>
      <c r="B118" s="402" t="s">
        <v>654</v>
      </c>
      <c r="C118" s="402" t="s">
        <v>826</v>
      </c>
      <c r="D118" s="440" t="s">
        <v>827</v>
      </c>
      <c r="E118" s="440"/>
      <c r="F118" s="402" t="s">
        <v>694</v>
      </c>
      <c r="G118" s="420">
        <v>20.684999999999999</v>
      </c>
      <c r="H118" s="420"/>
      <c r="I118" s="420">
        <f>G118*AO118</f>
        <v>0</v>
      </c>
      <c r="J118" s="420">
        <f>G118*AP118</f>
        <v>0</v>
      </c>
      <c r="K118" s="420">
        <f>G118*H118</f>
        <v>0</v>
      </c>
      <c r="L118" s="420">
        <v>0</v>
      </c>
      <c r="M118" s="420">
        <f>G118*L118</f>
        <v>0</v>
      </c>
      <c r="N118" s="421" t="s">
        <v>1358</v>
      </c>
      <c r="Z118" s="420">
        <f>IF(AQ118="5",BJ118,0)</f>
        <v>0</v>
      </c>
      <c r="AB118" s="420">
        <f>IF(AQ118="1",BH118,0)</f>
        <v>0</v>
      </c>
      <c r="AC118" s="420">
        <f>IF(AQ118="1",BI118,0)</f>
        <v>0</v>
      </c>
      <c r="AD118" s="420">
        <f>IF(AQ118="7",BH118,0)</f>
        <v>0</v>
      </c>
      <c r="AE118" s="420">
        <f>IF(AQ118="7",BI118,0)</f>
        <v>0</v>
      </c>
      <c r="AF118" s="420">
        <f>IF(AQ118="2",BH118,0)</f>
        <v>0</v>
      </c>
      <c r="AG118" s="420">
        <f>IF(AQ118="2",BI118,0)</f>
        <v>0</v>
      </c>
      <c r="AH118" s="420">
        <f>IF(AQ118="0",BJ118,0)</f>
        <v>0</v>
      </c>
      <c r="AI118" s="408" t="s">
        <v>654</v>
      </c>
      <c r="AJ118" s="420">
        <f>IF(AN118=0,K118,0)</f>
        <v>0</v>
      </c>
      <c r="AK118" s="420">
        <f>IF(AN118=15,K118,0)</f>
        <v>0</v>
      </c>
      <c r="AL118" s="420">
        <f>IF(AN118=21,K118,0)</f>
        <v>0</v>
      </c>
      <c r="AN118" s="420">
        <v>21</v>
      </c>
      <c r="AO118" s="420">
        <f>H118*0</f>
        <v>0</v>
      </c>
      <c r="AP118" s="420">
        <f>H118*(1-0)</f>
        <v>0</v>
      </c>
      <c r="AQ118" s="422" t="s">
        <v>666</v>
      </c>
      <c r="AV118" s="420">
        <f>AW118+AX118</f>
        <v>0</v>
      </c>
      <c r="AW118" s="420">
        <f>G118*AO118</f>
        <v>0</v>
      </c>
      <c r="AX118" s="420">
        <f>G118*AP118</f>
        <v>0</v>
      </c>
      <c r="AY118" s="422" t="s">
        <v>822</v>
      </c>
      <c r="AZ118" s="422" t="s">
        <v>823</v>
      </c>
      <c r="BA118" s="408" t="s">
        <v>662</v>
      </c>
      <c r="BC118" s="420">
        <f>AW118+AX118</f>
        <v>0</v>
      </c>
      <c r="BD118" s="420">
        <f>H118/(100-BE118)*100</f>
        <v>0</v>
      </c>
      <c r="BE118" s="420">
        <v>0</v>
      </c>
      <c r="BF118" s="420">
        <f>M118</f>
        <v>0</v>
      </c>
      <c r="BH118" s="420">
        <f>G118*AO118</f>
        <v>0</v>
      </c>
      <c r="BI118" s="420">
        <f>G118*AP118</f>
        <v>0</v>
      </c>
      <c r="BJ118" s="420">
        <f>G118*H118</f>
        <v>0</v>
      </c>
      <c r="BK118" s="420"/>
      <c r="BL118" s="420">
        <v>45</v>
      </c>
    </row>
    <row r="119" spans="1:64" ht="15" customHeight="1">
      <c r="A119" s="423"/>
      <c r="D119" s="424" t="s">
        <v>1155</v>
      </c>
      <c r="E119" s="424" t="s">
        <v>654</v>
      </c>
      <c r="G119" s="425">
        <v>20.685000000000002</v>
      </c>
      <c r="N119" s="426"/>
    </row>
    <row r="120" spans="1:64" ht="15" customHeight="1">
      <c r="A120" s="416" t="s">
        <v>654</v>
      </c>
      <c r="B120" s="417" t="s">
        <v>654</v>
      </c>
      <c r="C120" s="417" t="s">
        <v>855</v>
      </c>
      <c r="D120" s="455" t="s">
        <v>856</v>
      </c>
      <c r="E120" s="455"/>
      <c r="F120" s="418" t="s">
        <v>608</v>
      </c>
      <c r="G120" s="418" t="s">
        <v>608</v>
      </c>
      <c r="H120" s="418"/>
      <c r="I120" s="400">
        <f>SUM(I121:I121)</f>
        <v>0</v>
      </c>
      <c r="J120" s="400">
        <f>SUM(J121:J121)</f>
        <v>0</v>
      </c>
      <c r="K120" s="400">
        <f>SUM(K121:K121)</f>
        <v>0</v>
      </c>
      <c r="L120" s="408" t="s">
        <v>654</v>
      </c>
      <c r="M120" s="400">
        <f>SUM(M121:M121)</f>
        <v>0.36949999999999994</v>
      </c>
      <c r="N120" s="419" t="s">
        <v>654</v>
      </c>
      <c r="AI120" s="408" t="s">
        <v>654</v>
      </c>
      <c r="AS120" s="400">
        <f>SUM(AJ121:AJ121)</f>
        <v>0</v>
      </c>
      <c r="AT120" s="400">
        <f>SUM(AK121:AK121)</f>
        <v>0</v>
      </c>
      <c r="AU120" s="400">
        <f>SUM(AL121:AL121)</f>
        <v>0</v>
      </c>
    </row>
    <row r="121" spans="1:64" ht="15" customHeight="1">
      <c r="A121" s="401" t="s">
        <v>840</v>
      </c>
      <c r="B121" s="402" t="s">
        <v>654</v>
      </c>
      <c r="C121" s="402" t="s">
        <v>858</v>
      </c>
      <c r="D121" s="440" t="s">
        <v>859</v>
      </c>
      <c r="E121" s="440"/>
      <c r="F121" s="402" t="s">
        <v>40</v>
      </c>
      <c r="G121" s="420">
        <v>5</v>
      </c>
      <c r="H121" s="420"/>
      <c r="I121" s="420">
        <f>G121*AO121</f>
        <v>0</v>
      </c>
      <c r="J121" s="420">
        <f>G121*AP121</f>
        <v>0</v>
      </c>
      <c r="K121" s="420">
        <f>G121*H121</f>
        <v>0</v>
      </c>
      <c r="L121" s="420">
        <v>7.3899999999999993E-2</v>
      </c>
      <c r="M121" s="420">
        <f>G121*L121</f>
        <v>0.36949999999999994</v>
      </c>
      <c r="N121" s="421" t="s">
        <v>1358</v>
      </c>
      <c r="Z121" s="420">
        <f>IF(AQ121="5",BJ121,0)</f>
        <v>0</v>
      </c>
      <c r="AB121" s="420">
        <f>IF(AQ121="1",BH121,0)</f>
        <v>0</v>
      </c>
      <c r="AC121" s="420">
        <f>IF(AQ121="1",BI121,0)</f>
        <v>0</v>
      </c>
      <c r="AD121" s="420">
        <f>IF(AQ121="7",BH121,0)</f>
        <v>0</v>
      </c>
      <c r="AE121" s="420">
        <f>IF(AQ121="7",BI121,0)</f>
        <v>0</v>
      </c>
      <c r="AF121" s="420">
        <f>IF(AQ121="2",BH121,0)</f>
        <v>0</v>
      </c>
      <c r="AG121" s="420">
        <f>IF(AQ121="2",BI121,0)</f>
        <v>0</v>
      </c>
      <c r="AH121" s="420">
        <f>IF(AQ121="0",BJ121,0)</f>
        <v>0</v>
      </c>
      <c r="AI121" s="408" t="s">
        <v>654</v>
      </c>
      <c r="AJ121" s="420">
        <f>IF(AN121=0,K121,0)</f>
        <v>0</v>
      </c>
      <c r="AK121" s="420">
        <f>IF(AN121=15,K121,0)</f>
        <v>0</v>
      </c>
      <c r="AL121" s="420">
        <f>IF(AN121=21,K121,0)</f>
        <v>0</v>
      </c>
      <c r="AN121" s="420">
        <v>21</v>
      </c>
      <c r="AO121" s="420">
        <f>H121*0.149452054794521</f>
        <v>0</v>
      </c>
      <c r="AP121" s="420">
        <f>H121*(1-0.149452054794521)</f>
        <v>0</v>
      </c>
      <c r="AQ121" s="422" t="s">
        <v>657</v>
      </c>
      <c r="AV121" s="420">
        <f>AW121+AX121</f>
        <v>0</v>
      </c>
      <c r="AW121" s="420">
        <f>G121*AO121</f>
        <v>0</v>
      </c>
      <c r="AX121" s="420">
        <f>G121*AP121</f>
        <v>0</v>
      </c>
      <c r="AY121" s="422" t="s">
        <v>860</v>
      </c>
      <c r="AZ121" s="422" t="s">
        <v>833</v>
      </c>
      <c r="BA121" s="408" t="s">
        <v>662</v>
      </c>
      <c r="BC121" s="420">
        <f>AW121+AX121</f>
        <v>0</v>
      </c>
      <c r="BD121" s="420">
        <f>H121/(100-BE121)*100</f>
        <v>0</v>
      </c>
      <c r="BE121" s="420">
        <v>0</v>
      </c>
      <c r="BF121" s="420">
        <f>M121</f>
        <v>0.36949999999999994</v>
      </c>
      <c r="BH121" s="420">
        <f>G121*AO121</f>
        <v>0</v>
      </c>
      <c r="BI121" s="420">
        <f>G121*AP121</f>
        <v>0</v>
      </c>
      <c r="BJ121" s="420">
        <f>G121*H121</f>
        <v>0</v>
      </c>
      <c r="BK121" s="420"/>
      <c r="BL121" s="420">
        <v>59</v>
      </c>
    </row>
    <row r="122" spans="1:64" ht="15" customHeight="1">
      <c r="A122" s="423"/>
      <c r="D122" s="424" t="s">
        <v>680</v>
      </c>
      <c r="E122" s="424" t="s">
        <v>654</v>
      </c>
      <c r="G122" s="425">
        <v>5</v>
      </c>
      <c r="N122" s="426"/>
    </row>
    <row r="123" spans="1:64" ht="15" customHeight="1">
      <c r="A123" s="416" t="s">
        <v>654</v>
      </c>
      <c r="B123" s="417" t="s">
        <v>654</v>
      </c>
      <c r="C123" s="417" t="s">
        <v>909</v>
      </c>
      <c r="D123" s="455" t="s">
        <v>1156</v>
      </c>
      <c r="E123" s="455"/>
      <c r="F123" s="418" t="s">
        <v>608</v>
      </c>
      <c r="G123" s="418" t="s">
        <v>608</v>
      </c>
      <c r="H123" s="418"/>
      <c r="I123" s="400">
        <f>SUM(I124:I128)</f>
        <v>0</v>
      </c>
      <c r="J123" s="400">
        <f>SUM(J124:J128)</f>
        <v>0</v>
      </c>
      <c r="K123" s="400">
        <f>SUM(K124:K128)</f>
        <v>0</v>
      </c>
      <c r="L123" s="408" t="s">
        <v>654</v>
      </c>
      <c r="M123" s="400">
        <f>SUM(M124:M128)</f>
        <v>0.32105329999999999</v>
      </c>
      <c r="N123" s="419" t="s">
        <v>654</v>
      </c>
      <c r="AI123" s="408" t="s">
        <v>654</v>
      </c>
      <c r="AS123" s="400">
        <f>SUM(AJ124:AJ128)</f>
        <v>0</v>
      </c>
      <c r="AT123" s="400">
        <f>SUM(AK124:AK128)</f>
        <v>0</v>
      </c>
      <c r="AU123" s="400">
        <f>SUM(AL124:AL128)</f>
        <v>0</v>
      </c>
    </row>
    <row r="124" spans="1:64" ht="15" customHeight="1">
      <c r="A124" s="401" t="s">
        <v>844</v>
      </c>
      <c r="B124" s="402" t="s">
        <v>654</v>
      </c>
      <c r="C124" s="402" t="s">
        <v>1157</v>
      </c>
      <c r="D124" s="440" t="s">
        <v>1158</v>
      </c>
      <c r="E124" s="440"/>
      <c r="F124" s="402" t="s">
        <v>40</v>
      </c>
      <c r="G124" s="420">
        <v>29.594999999999999</v>
      </c>
      <c r="H124" s="420"/>
      <c r="I124" s="420">
        <f>G124*AO124</f>
        <v>0</v>
      </c>
      <c r="J124" s="420">
        <f>G124*AP124</f>
        <v>0</v>
      </c>
      <c r="K124" s="420">
        <f>G124*H124</f>
        <v>0</v>
      </c>
      <c r="L124" s="420">
        <v>5.3400000000000001E-3</v>
      </c>
      <c r="M124" s="420">
        <f>G124*L124</f>
        <v>0.15803729999999999</v>
      </c>
      <c r="N124" s="421" t="s">
        <v>1358</v>
      </c>
      <c r="Z124" s="420">
        <f>IF(AQ124="5",BJ124,0)</f>
        <v>0</v>
      </c>
      <c r="AB124" s="420">
        <f>IF(AQ124="1",BH124,0)</f>
        <v>0</v>
      </c>
      <c r="AC124" s="420">
        <f>IF(AQ124="1",BI124,0)</f>
        <v>0</v>
      </c>
      <c r="AD124" s="420">
        <f>IF(AQ124="7",BH124,0)</f>
        <v>0</v>
      </c>
      <c r="AE124" s="420">
        <f>IF(AQ124="7",BI124,0)</f>
        <v>0</v>
      </c>
      <c r="AF124" s="420">
        <f>IF(AQ124="2",BH124,0)</f>
        <v>0</v>
      </c>
      <c r="AG124" s="420">
        <f>IF(AQ124="2",BI124,0)</f>
        <v>0</v>
      </c>
      <c r="AH124" s="420">
        <f>IF(AQ124="0",BJ124,0)</f>
        <v>0</v>
      </c>
      <c r="AI124" s="408" t="s">
        <v>654</v>
      </c>
      <c r="AJ124" s="420">
        <f>IF(AN124=0,K124,0)</f>
        <v>0</v>
      </c>
      <c r="AK124" s="420">
        <f>IF(AN124=15,K124,0)</f>
        <v>0</v>
      </c>
      <c r="AL124" s="420">
        <f>IF(AN124=21,K124,0)</f>
        <v>0</v>
      </c>
      <c r="AN124" s="420">
        <v>21</v>
      </c>
      <c r="AO124" s="420">
        <f>H124*0.0959677419354839</f>
        <v>0</v>
      </c>
      <c r="AP124" s="420">
        <f>H124*(1-0.0959677419354839)</f>
        <v>0</v>
      </c>
      <c r="AQ124" s="422" t="s">
        <v>657</v>
      </c>
      <c r="AV124" s="420">
        <f>AW124+AX124</f>
        <v>0</v>
      </c>
      <c r="AW124" s="420">
        <f>G124*AO124</f>
        <v>0</v>
      </c>
      <c r="AX124" s="420">
        <f>G124*AP124</f>
        <v>0</v>
      </c>
      <c r="AY124" s="422" t="s">
        <v>1159</v>
      </c>
      <c r="AZ124" s="422" t="s">
        <v>1160</v>
      </c>
      <c r="BA124" s="408" t="s">
        <v>662</v>
      </c>
      <c r="BC124" s="420">
        <f>AW124+AX124</f>
        <v>0</v>
      </c>
      <c r="BD124" s="420">
        <f>H124/(100-BE124)*100</f>
        <v>0</v>
      </c>
      <c r="BE124" s="420">
        <v>0</v>
      </c>
      <c r="BF124" s="420">
        <f>M124</f>
        <v>0.15803729999999999</v>
      </c>
      <c r="BH124" s="420">
        <f>G124*AO124</f>
        <v>0</v>
      </c>
      <c r="BI124" s="420">
        <f>G124*AP124</f>
        <v>0</v>
      </c>
      <c r="BJ124" s="420">
        <f>G124*H124</f>
        <v>0</v>
      </c>
      <c r="BK124" s="420"/>
      <c r="BL124" s="420">
        <v>61</v>
      </c>
    </row>
    <row r="125" spans="1:64" ht="15" customHeight="1">
      <c r="A125" s="423"/>
      <c r="D125" s="424" t="s">
        <v>1161</v>
      </c>
      <c r="E125" s="424" t="s">
        <v>654</v>
      </c>
      <c r="G125" s="425">
        <v>10.797000000000001</v>
      </c>
      <c r="N125" s="426"/>
    </row>
    <row r="126" spans="1:64" ht="15" customHeight="1">
      <c r="A126" s="423"/>
      <c r="D126" s="424" t="s">
        <v>1162</v>
      </c>
      <c r="E126" s="424" t="s">
        <v>654</v>
      </c>
      <c r="G126" s="425">
        <v>18.798000000000002</v>
      </c>
      <c r="N126" s="426"/>
    </row>
    <row r="127" spans="1:64" ht="15" customHeight="1">
      <c r="A127" s="423"/>
      <c r="D127" s="424" t="s">
        <v>1163</v>
      </c>
      <c r="E127" s="424" t="s">
        <v>654</v>
      </c>
      <c r="G127" s="425">
        <v>0</v>
      </c>
      <c r="N127" s="426"/>
    </row>
    <row r="128" spans="1:64" ht="15" customHeight="1">
      <c r="A128" s="401" t="s">
        <v>817</v>
      </c>
      <c r="B128" s="402" t="s">
        <v>654</v>
      </c>
      <c r="C128" s="402" t="s">
        <v>1164</v>
      </c>
      <c r="D128" s="440" t="s">
        <v>1165</v>
      </c>
      <c r="E128" s="440"/>
      <c r="F128" s="402" t="s">
        <v>40</v>
      </c>
      <c r="G128" s="420">
        <v>28.4</v>
      </c>
      <c r="H128" s="420"/>
      <c r="I128" s="420">
        <f>G128*AO128</f>
        <v>0</v>
      </c>
      <c r="J128" s="420">
        <f>G128*AP128</f>
        <v>0</v>
      </c>
      <c r="K128" s="420">
        <f>G128*H128</f>
        <v>0</v>
      </c>
      <c r="L128" s="420">
        <v>5.7400000000000003E-3</v>
      </c>
      <c r="M128" s="420">
        <f>G128*L128</f>
        <v>0.16301599999999999</v>
      </c>
      <c r="N128" s="421" t="s">
        <v>1358</v>
      </c>
      <c r="Z128" s="420">
        <f>IF(AQ128="5",BJ128,0)</f>
        <v>0</v>
      </c>
      <c r="AB128" s="420">
        <f>IF(AQ128="1",BH128,0)</f>
        <v>0</v>
      </c>
      <c r="AC128" s="420">
        <f>IF(AQ128="1",BI128,0)</f>
        <v>0</v>
      </c>
      <c r="AD128" s="420">
        <f>IF(AQ128="7",BH128,0)</f>
        <v>0</v>
      </c>
      <c r="AE128" s="420">
        <f>IF(AQ128="7",BI128,0)</f>
        <v>0</v>
      </c>
      <c r="AF128" s="420">
        <f>IF(AQ128="2",BH128,0)</f>
        <v>0</v>
      </c>
      <c r="AG128" s="420">
        <f>IF(AQ128="2",BI128,0)</f>
        <v>0</v>
      </c>
      <c r="AH128" s="420">
        <f>IF(AQ128="0",BJ128,0)</f>
        <v>0</v>
      </c>
      <c r="AI128" s="408" t="s">
        <v>654</v>
      </c>
      <c r="AJ128" s="420">
        <f>IF(AN128=0,K128,0)</f>
        <v>0</v>
      </c>
      <c r="AK128" s="420">
        <f>IF(AN128=15,K128,0)</f>
        <v>0</v>
      </c>
      <c r="AL128" s="420">
        <f>IF(AN128=21,K128,0)</f>
        <v>0</v>
      </c>
      <c r="AN128" s="420">
        <v>21</v>
      </c>
      <c r="AO128" s="420">
        <f>H128*0.154122807017544</f>
        <v>0</v>
      </c>
      <c r="AP128" s="420">
        <f>H128*(1-0.154122807017544)</f>
        <v>0</v>
      </c>
      <c r="AQ128" s="422" t="s">
        <v>657</v>
      </c>
      <c r="AV128" s="420">
        <f>AW128+AX128</f>
        <v>0</v>
      </c>
      <c r="AW128" s="420">
        <f>G128*AO128</f>
        <v>0</v>
      </c>
      <c r="AX128" s="420">
        <f>G128*AP128</f>
        <v>0</v>
      </c>
      <c r="AY128" s="422" t="s">
        <v>1159</v>
      </c>
      <c r="AZ128" s="422" t="s">
        <v>1160</v>
      </c>
      <c r="BA128" s="408" t="s">
        <v>662</v>
      </c>
      <c r="BC128" s="420">
        <f>AW128+AX128</f>
        <v>0</v>
      </c>
      <c r="BD128" s="420">
        <f>H128/(100-BE128)*100</f>
        <v>0</v>
      </c>
      <c r="BE128" s="420">
        <v>0</v>
      </c>
      <c r="BF128" s="420">
        <f>M128</f>
        <v>0.16301599999999999</v>
      </c>
      <c r="BH128" s="420">
        <f>G128*AO128</f>
        <v>0</v>
      </c>
      <c r="BI128" s="420">
        <f>G128*AP128</f>
        <v>0</v>
      </c>
      <c r="BJ128" s="420">
        <f>G128*H128</f>
        <v>0</v>
      </c>
      <c r="BK128" s="420"/>
      <c r="BL128" s="420">
        <v>61</v>
      </c>
    </row>
    <row r="129" spans="1:64" ht="15" customHeight="1">
      <c r="A129" s="423"/>
      <c r="D129" s="424" t="s">
        <v>1166</v>
      </c>
      <c r="E129" s="424" t="s">
        <v>654</v>
      </c>
      <c r="G129" s="425">
        <v>9.9</v>
      </c>
      <c r="N129" s="426"/>
    </row>
    <row r="130" spans="1:64" ht="15" customHeight="1">
      <c r="A130" s="423"/>
      <c r="D130" s="424" t="s">
        <v>1167</v>
      </c>
      <c r="E130" s="424" t="s">
        <v>654</v>
      </c>
      <c r="G130" s="425">
        <v>18.5</v>
      </c>
      <c r="N130" s="426"/>
    </row>
    <row r="131" spans="1:64" ht="15" customHeight="1">
      <c r="A131" s="423"/>
      <c r="D131" s="424" t="s">
        <v>1163</v>
      </c>
      <c r="E131" s="424" t="s">
        <v>654</v>
      </c>
      <c r="G131" s="425">
        <v>0</v>
      </c>
      <c r="N131" s="426"/>
    </row>
    <row r="132" spans="1:64" ht="15" customHeight="1">
      <c r="A132" s="416" t="s">
        <v>654</v>
      </c>
      <c r="B132" s="417" t="s">
        <v>654</v>
      </c>
      <c r="C132" s="417" t="s">
        <v>916</v>
      </c>
      <c r="D132" s="455" t="s">
        <v>1168</v>
      </c>
      <c r="E132" s="455"/>
      <c r="F132" s="418" t="s">
        <v>608</v>
      </c>
      <c r="G132" s="418" t="s">
        <v>608</v>
      </c>
      <c r="H132" s="418"/>
      <c r="I132" s="400">
        <f>SUM(I133:I133)</f>
        <v>0</v>
      </c>
      <c r="J132" s="400">
        <f>SUM(J133:J133)</f>
        <v>0</v>
      </c>
      <c r="K132" s="400">
        <f>SUM(K133:K133)</f>
        <v>0</v>
      </c>
      <c r="L132" s="408" t="s">
        <v>654</v>
      </c>
      <c r="M132" s="400">
        <f>SUM(M133:M133)</f>
        <v>4.4548130000000002E-3</v>
      </c>
      <c r="N132" s="419" t="s">
        <v>654</v>
      </c>
      <c r="AI132" s="408" t="s">
        <v>654</v>
      </c>
      <c r="AS132" s="400">
        <f>SUM(AJ133:AJ133)</f>
        <v>0</v>
      </c>
      <c r="AT132" s="400">
        <f>SUM(AK133:AK133)</f>
        <v>0</v>
      </c>
      <c r="AU132" s="400">
        <f>SUM(AL133:AL133)</f>
        <v>0</v>
      </c>
    </row>
    <row r="133" spans="1:64" ht="15" customHeight="1">
      <c r="A133" s="401" t="s">
        <v>849</v>
      </c>
      <c r="B133" s="402" t="s">
        <v>654</v>
      </c>
      <c r="C133" s="402" t="s">
        <v>1169</v>
      </c>
      <c r="D133" s="440" t="s">
        <v>1170</v>
      </c>
      <c r="E133" s="440"/>
      <c r="F133" s="402" t="s">
        <v>40</v>
      </c>
      <c r="G133" s="420">
        <v>40.4983</v>
      </c>
      <c r="H133" s="420"/>
      <c r="I133" s="420">
        <f>G133*AO133</f>
        <v>0</v>
      </c>
      <c r="J133" s="420">
        <f>G133*AP133</f>
        <v>0</v>
      </c>
      <c r="K133" s="420">
        <f>G133*H133</f>
        <v>0</v>
      </c>
      <c r="L133" s="420">
        <v>1.1E-4</v>
      </c>
      <c r="M133" s="420">
        <f>G133*L133</f>
        <v>4.4548130000000002E-3</v>
      </c>
      <c r="N133" s="421" t="s">
        <v>1358</v>
      </c>
      <c r="Z133" s="420">
        <f>IF(AQ133="5",BJ133,0)</f>
        <v>0</v>
      </c>
      <c r="AB133" s="420">
        <f>IF(AQ133="1",BH133,0)</f>
        <v>0</v>
      </c>
      <c r="AC133" s="420">
        <f>IF(AQ133="1",BI133,0)</f>
        <v>0</v>
      </c>
      <c r="AD133" s="420">
        <f>IF(AQ133="7",BH133,0)</f>
        <v>0</v>
      </c>
      <c r="AE133" s="420">
        <f>IF(AQ133="7",BI133,0)</f>
        <v>0</v>
      </c>
      <c r="AF133" s="420">
        <f>IF(AQ133="2",BH133,0)</f>
        <v>0</v>
      </c>
      <c r="AG133" s="420">
        <f>IF(AQ133="2",BI133,0)</f>
        <v>0</v>
      </c>
      <c r="AH133" s="420">
        <f>IF(AQ133="0",BJ133,0)</f>
        <v>0</v>
      </c>
      <c r="AI133" s="408" t="s">
        <v>654</v>
      </c>
      <c r="AJ133" s="420">
        <f>IF(AN133=0,K133,0)</f>
        <v>0</v>
      </c>
      <c r="AK133" s="420">
        <f>IF(AN133=15,K133,0)</f>
        <v>0</v>
      </c>
      <c r="AL133" s="420">
        <f>IF(AN133=21,K133,0)</f>
        <v>0</v>
      </c>
      <c r="AN133" s="420">
        <v>21</v>
      </c>
      <c r="AO133" s="420">
        <f>H133*0.239255662823843</f>
        <v>0</v>
      </c>
      <c r="AP133" s="420">
        <f>H133*(1-0.239255662823843)</f>
        <v>0</v>
      </c>
      <c r="AQ133" s="422" t="s">
        <v>657</v>
      </c>
      <c r="AV133" s="420">
        <f>AW133+AX133</f>
        <v>0</v>
      </c>
      <c r="AW133" s="420">
        <f>G133*AO133</f>
        <v>0</v>
      </c>
      <c r="AX133" s="420">
        <f>G133*AP133</f>
        <v>0</v>
      </c>
      <c r="AY133" s="422" t="s">
        <v>1171</v>
      </c>
      <c r="AZ133" s="422" t="s">
        <v>1160</v>
      </c>
      <c r="BA133" s="408" t="s">
        <v>662</v>
      </c>
      <c r="BC133" s="420">
        <f>AW133+AX133</f>
        <v>0</v>
      </c>
      <c r="BD133" s="420">
        <f>H133/(100-BE133)*100</f>
        <v>0</v>
      </c>
      <c r="BE133" s="420">
        <v>0</v>
      </c>
      <c r="BF133" s="420">
        <f>M133</f>
        <v>4.4548130000000002E-3</v>
      </c>
      <c r="BH133" s="420">
        <f>G133*AO133</f>
        <v>0</v>
      </c>
      <c r="BI133" s="420">
        <f>G133*AP133</f>
        <v>0</v>
      </c>
      <c r="BJ133" s="420">
        <f>G133*H133</f>
        <v>0</v>
      </c>
      <c r="BK133" s="420"/>
      <c r="BL133" s="420">
        <v>62</v>
      </c>
    </row>
    <row r="134" spans="1:64" ht="15" customHeight="1">
      <c r="A134" s="423"/>
      <c r="D134" s="424" t="s">
        <v>1172</v>
      </c>
      <c r="E134" s="424" t="s">
        <v>654</v>
      </c>
      <c r="G134" s="425">
        <v>40.4983</v>
      </c>
      <c r="N134" s="426"/>
    </row>
    <row r="135" spans="1:64" ht="15" customHeight="1">
      <c r="A135" s="416" t="s">
        <v>654</v>
      </c>
      <c r="B135" s="417" t="s">
        <v>654</v>
      </c>
      <c r="C135" s="417" t="s">
        <v>1173</v>
      </c>
      <c r="D135" s="455" t="s">
        <v>1174</v>
      </c>
      <c r="E135" s="455"/>
      <c r="F135" s="418" t="s">
        <v>608</v>
      </c>
      <c r="G135" s="418" t="s">
        <v>608</v>
      </c>
      <c r="H135" s="418"/>
      <c r="I135" s="400">
        <f>SUM(I136:I136)</f>
        <v>0</v>
      </c>
      <c r="J135" s="400">
        <f>SUM(J136:J136)</f>
        <v>0</v>
      </c>
      <c r="K135" s="400">
        <f>SUM(K136:K136)</f>
        <v>0</v>
      </c>
      <c r="L135" s="408" t="s">
        <v>654</v>
      </c>
      <c r="M135" s="400">
        <f>SUM(M136:M136)</f>
        <v>7.4341409999999997E-2</v>
      </c>
      <c r="N135" s="419" t="s">
        <v>654</v>
      </c>
      <c r="AI135" s="408" t="s">
        <v>654</v>
      </c>
      <c r="AS135" s="400">
        <f>SUM(AJ136:AJ136)</f>
        <v>0</v>
      </c>
      <c r="AT135" s="400">
        <f>SUM(AK136:AK136)</f>
        <v>0</v>
      </c>
      <c r="AU135" s="400">
        <f>SUM(AL136:AL136)</f>
        <v>0</v>
      </c>
    </row>
    <row r="136" spans="1:64" ht="15" customHeight="1">
      <c r="A136" s="401" t="s">
        <v>852</v>
      </c>
      <c r="B136" s="402" t="s">
        <v>654</v>
      </c>
      <c r="C136" s="402" t="s">
        <v>1175</v>
      </c>
      <c r="D136" s="440" t="s">
        <v>1176</v>
      </c>
      <c r="E136" s="440"/>
      <c r="F136" s="402" t="s">
        <v>40</v>
      </c>
      <c r="G136" s="420">
        <v>13.298999999999999</v>
      </c>
      <c r="H136" s="420"/>
      <c r="I136" s="420">
        <f>G136*AO136</f>
        <v>0</v>
      </c>
      <c r="J136" s="420">
        <f>G136*AP136</f>
        <v>0</v>
      </c>
      <c r="K136" s="420">
        <f>G136*H136</f>
        <v>0</v>
      </c>
      <c r="L136" s="420">
        <v>5.5900000000000004E-3</v>
      </c>
      <c r="M136" s="420">
        <f>G136*L136</f>
        <v>7.4341409999999997E-2</v>
      </c>
      <c r="N136" s="421" t="s">
        <v>1358</v>
      </c>
      <c r="Z136" s="420">
        <f>IF(AQ136="5",BJ136,0)</f>
        <v>0</v>
      </c>
      <c r="AB136" s="420">
        <f>IF(AQ136="1",BH136,0)</f>
        <v>0</v>
      </c>
      <c r="AC136" s="420">
        <f>IF(AQ136="1",BI136,0)</f>
        <v>0</v>
      </c>
      <c r="AD136" s="420">
        <f>IF(AQ136="7",BH136,0)</f>
        <v>0</v>
      </c>
      <c r="AE136" s="420">
        <f>IF(AQ136="7",BI136,0)</f>
        <v>0</v>
      </c>
      <c r="AF136" s="420">
        <f>IF(AQ136="2",BH136,0)</f>
        <v>0</v>
      </c>
      <c r="AG136" s="420">
        <f>IF(AQ136="2",BI136,0)</f>
        <v>0</v>
      </c>
      <c r="AH136" s="420">
        <f>IF(AQ136="0",BJ136,0)</f>
        <v>0</v>
      </c>
      <c r="AI136" s="408" t="s">
        <v>654</v>
      </c>
      <c r="AJ136" s="420">
        <f>IF(AN136=0,K136,0)</f>
        <v>0</v>
      </c>
      <c r="AK136" s="420">
        <f>IF(AN136=15,K136,0)</f>
        <v>0</v>
      </c>
      <c r="AL136" s="420">
        <f>IF(AN136=21,K136,0)</f>
        <v>0</v>
      </c>
      <c r="AN136" s="420">
        <v>21</v>
      </c>
      <c r="AO136" s="420">
        <f>H136*0.786771909388183</f>
        <v>0</v>
      </c>
      <c r="AP136" s="420">
        <f>H136*(1-0.786771909388183)</f>
        <v>0</v>
      </c>
      <c r="AQ136" s="422" t="s">
        <v>686</v>
      </c>
      <c r="AV136" s="420">
        <f>AW136+AX136</f>
        <v>0</v>
      </c>
      <c r="AW136" s="420">
        <f>G136*AO136</f>
        <v>0</v>
      </c>
      <c r="AX136" s="420">
        <f>G136*AP136</f>
        <v>0</v>
      </c>
      <c r="AY136" s="422" t="s">
        <v>1177</v>
      </c>
      <c r="AZ136" s="422" t="s">
        <v>1178</v>
      </c>
      <c r="BA136" s="408" t="s">
        <v>662</v>
      </c>
      <c r="BC136" s="420">
        <f>AW136+AX136</f>
        <v>0</v>
      </c>
      <c r="BD136" s="420">
        <f>H136/(100-BE136)*100</f>
        <v>0</v>
      </c>
      <c r="BE136" s="420">
        <v>0</v>
      </c>
      <c r="BF136" s="420">
        <f>M136</f>
        <v>7.4341409999999997E-2</v>
      </c>
      <c r="BH136" s="420">
        <f>G136*AO136</f>
        <v>0</v>
      </c>
      <c r="BI136" s="420">
        <f>G136*AP136</f>
        <v>0</v>
      </c>
      <c r="BJ136" s="420">
        <f>G136*H136</f>
        <v>0</v>
      </c>
      <c r="BK136" s="420"/>
      <c r="BL136" s="420">
        <v>711</v>
      </c>
    </row>
    <row r="137" spans="1:64" ht="15" customHeight="1">
      <c r="A137" s="423"/>
      <c r="D137" s="424" t="s">
        <v>1179</v>
      </c>
      <c r="E137" s="424" t="s">
        <v>654</v>
      </c>
      <c r="G137" s="425">
        <v>12.090000000000002</v>
      </c>
      <c r="N137" s="426"/>
    </row>
    <row r="138" spans="1:64" ht="15" customHeight="1">
      <c r="A138" s="423"/>
      <c r="D138" s="424" t="s">
        <v>1180</v>
      </c>
      <c r="E138" s="424" t="s">
        <v>654</v>
      </c>
      <c r="G138" s="425">
        <v>1.2090000000000001</v>
      </c>
      <c r="N138" s="426"/>
    </row>
    <row r="139" spans="1:64" ht="15" customHeight="1">
      <c r="A139" s="416" t="s">
        <v>654</v>
      </c>
      <c r="B139" s="417" t="s">
        <v>654</v>
      </c>
      <c r="C139" s="417" t="s">
        <v>880</v>
      </c>
      <c r="D139" s="455" t="s">
        <v>881</v>
      </c>
      <c r="E139" s="455"/>
      <c r="F139" s="418" t="s">
        <v>608</v>
      </c>
      <c r="G139" s="418" t="s">
        <v>608</v>
      </c>
      <c r="H139" s="418"/>
      <c r="I139" s="400">
        <f>SUM(I140:I140)</f>
        <v>0</v>
      </c>
      <c r="J139" s="400">
        <f>SUM(J140:J140)</f>
        <v>0</v>
      </c>
      <c r="K139" s="400">
        <f>SUM(K140:K140)</f>
        <v>0</v>
      </c>
      <c r="L139" s="408" t="s">
        <v>654</v>
      </c>
      <c r="M139" s="400">
        <f>SUM(M140:M140)</f>
        <v>0</v>
      </c>
      <c r="N139" s="419" t="s">
        <v>654</v>
      </c>
      <c r="AI139" s="408" t="s">
        <v>654</v>
      </c>
      <c r="AS139" s="400">
        <f>SUM(AJ140:AJ140)</f>
        <v>0</v>
      </c>
      <c r="AT139" s="400">
        <f>SUM(AK140:AK140)</f>
        <v>0</v>
      </c>
      <c r="AU139" s="400">
        <f>SUM(AL140:AL140)</f>
        <v>0</v>
      </c>
    </row>
    <row r="140" spans="1:64" ht="15" customHeight="1">
      <c r="A140" s="401" t="s">
        <v>857</v>
      </c>
      <c r="B140" s="402" t="s">
        <v>654</v>
      </c>
      <c r="C140" s="402" t="s">
        <v>1181</v>
      </c>
      <c r="D140" s="440" t="s">
        <v>1182</v>
      </c>
      <c r="E140" s="440"/>
      <c r="F140" s="402" t="s">
        <v>14</v>
      </c>
      <c r="G140" s="420">
        <v>1</v>
      </c>
      <c r="H140" s="420"/>
      <c r="I140" s="420">
        <f>G140*AO140</f>
        <v>0</v>
      </c>
      <c r="J140" s="420">
        <f>G140*AP140</f>
        <v>0</v>
      </c>
      <c r="K140" s="420">
        <f>G140*H140</f>
        <v>0</v>
      </c>
      <c r="L140" s="420">
        <v>0</v>
      </c>
      <c r="M140" s="420">
        <f>G140*L140</f>
        <v>0</v>
      </c>
      <c r="N140" s="421" t="s">
        <v>654</v>
      </c>
      <c r="Z140" s="420">
        <f>IF(AQ140="5",BJ140,0)</f>
        <v>0</v>
      </c>
      <c r="AB140" s="420">
        <f>IF(AQ140="1",BH140,0)</f>
        <v>0</v>
      </c>
      <c r="AC140" s="420">
        <f>IF(AQ140="1",BI140,0)</f>
        <v>0</v>
      </c>
      <c r="AD140" s="420">
        <f>IF(AQ140="7",BH140,0)</f>
        <v>0</v>
      </c>
      <c r="AE140" s="420">
        <f>IF(AQ140="7",BI140,0)</f>
        <v>0</v>
      </c>
      <c r="AF140" s="420">
        <f>IF(AQ140="2",BH140,0)</f>
        <v>0</v>
      </c>
      <c r="AG140" s="420">
        <f>IF(AQ140="2",BI140,0)</f>
        <v>0</v>
      </c>
      <c r="AH140" s="420">
        <f>IF(AQ140="0",BJ140,0)</f>
        <v>0</v>
      </c>
      <c r="AI140" s="408" t="s">
        <v>654</v>
      </c>
      <c r="AJ140" s="420">
        <f>IF(AN140=0,K140,0)</f>
        <v>0</v>
      </c>
      <c r="AK140" s="420">
        <f>IF(AN140=15,K140,0)</f>
        <v>0</v>
      </c>
      <c r="AL140" s="420">
        <f>IF(AN140=21,K140,0)</f>
        <v>0</v>
      </c>
      <c r="AN140" s="420">
        <v>21</v>
      </c>
      <c r="AO140" s="420">
        <f>H140*0.9</f>
        <v>0</v>
      </c>
      <c r="AP140" s="420">
        <f>H140*(1-0.9)</f>
        <v>0</v>
      </c>
      <c r="AQ140" s="422" t="s">
        <v>686</v>
      </c>
      <c r="AV140" s="420">
        <f>AW140+AX140</f>
        <v>0</v>
      </c>
      <c r="AW140" s="420">
        <f>G140*AO140</f>
        <v>0</v>
      </c>
      <c r="AX140" s="420">
        <f>G140*AP140</f>
        <v>0</v>
      </c>
      <c r="AY140" s="422" t="s">
        <v>883</v>
      </c>
      <c r="AZ140" s="422" t="s">
        <v>884</v>
      </c>
      <c r="BA140" s="408" t="s">
        <v>662</v>
      </c>
      <c r="BC140" s="420">
        <f>AW140+AX140</f>
        <v>0</v>
      </c>
      <c r="BD140" s="420">
        <f>H140/(100-BE140)*100</f>
        <v>0</v>
      </c>
      <c r="BE140" s="420">
        <v>0</v>
      </c>
      <c r="BF140" s="420">
        <f>M140</f>
        <v>0</v>
      </c>
      <c r="BH140" s="420">
        <f>G140*AO140</f>
        <v>0</v>
      </c>
      <c r="BI140" s="420">
        <f>G140*AP140</f>
        <v>0</v>
      </c>
      <c r="BJ140" s="420">
        <f>G140*H140</f>
        <v>0</v>
      </c>
      <c r="BK140" s="420"/>
      <c r="BL140" s="420">
        <v>767</v>
      </c>
    </row>
    <row r="141" spans="1:64" ht="15" customHeight="1">
      <c r="A141" s="423"/>
      <c r="D141" s="424" t="s">
        <v>1183</v>
      </c>
      <c r="E141" s="424" t="s">
        <v>654</v>
      </c>
      <c r="G141" s="425">
        <v>1</v>
      </c>
      <c r="N141" s="426"/>
    </row>
    <row r="142" spans="1:64" ht="15" customHeight="1">
      <c r="A142" s="416" t="s">
        <v>654</v>
      </c>
      <c r="B142" s="417" t="s">
        <v>654</v>
      </c>
      <c r="C142" s="417" t="s">
        <v>1184</v>
      </c>
      <c r="D142" s="455" t="s">
        <v>1185</v>
      </c>
      <c r="E142" s="455"/>
      <c r="F142" s="418" t="s">
        <v>608</v>
      </c>
      <c r="G142" s="418" t="s">
        <v>608</v>
      </c>
      <c r="H142" s="418"/>
      <c r="I142" s="400">
        <f>SUM(I143:I155)</f>
        <v>0</v>
      </c>
      <c r="J142" s="400">
        <f>SUM(J143:J155)</f>
        <v>0</v>
      </c>
      <c r="K142" s="400">
        <f>SUM(K143:K155)</f>
        <v>0</v>
      </c>
      <c r="L142" s="408" t="s">
        <v>654</v>
      </c>
      <c r="M142" s="400">
        <f>SUM(M143:M155)</f>
        <v>2.6855039999999994</v>
      </c>
      <c r="N142" s="419" t="s">
        <v>654</v>
      </c>
      <c r="AI142" s="408" t="s">
        <v>654</v>
      </c>
      <c r="AS142" s="400">
        <f>SUM(AJ143:AJ155)</f>
        <v>0</v>
      </c>
      <c r="AT142" s="400">
        <f>SUM(AK143:AK155)</f>
        <v>0</v>
      </c>
      <c r="AU142" s="400">
        <f>SUM(AL143:AL155)</f>
        <v>0</v>
      </c>
    </row>
    <row r="143" spans="1:64" ht="15" customHeight="1">
      <c r="A143" s="401" t="s">
        <v>863</v>
      </c>
      <c r="B143" s="402" t="s">
        <v>654</v>
      </c>
      <c r="C143" s="402" t="s">
        <v>1186</v>
      </c>
      <c r="D143" s="440" t="s">
        <v>1187</v>
      </c>
      <c r="E143" s="440"/>
      <c r="F143" s="402" t="s">
        <v>40</v>
      </c>
      <c r="G143" s="420">
        <v>28.4</v>
      </c>
      <c r="H143" s="420"/>
      <c r="I143" s="420">
        <f>G143*AO143</f>
        <v>0</v>
      </c>
      <c r="J143" s="420">
        <f>G143*AP143</f>
        <v>0</v>
      </c>
      <c r="K143" s="420">
        <f>G143*H143</f>
        <v>0</v>
      </c>
      <c r="L143" s="420">
        <v>5.1399999999999996E-3</v>
      </c>
      <c r="M143" s="420">
        <f>G143*L143</f>
        <v>0.14597599999999999</v>
      </c>
      <c r="N143" s="421" t="s">
        <v>1358</v>
      </c>
      <c r="Z143" s="420">
        <f>IF(AQ143="5",BJ143,0)</f>
        <v>0</v>
      </c>
      <c r="AB143" s="420">
        <f>IF(AQ143="1",BH143,0)</f>
        <v>0</v>
      </c>
      <c r="AC143" s="420">
        <f>IF(AQ143="1",BI143,0)</f>
        <v>0</v>
      </c>
      <c r="AD143" s="420">
        <f>IF(AQ143="7",BH143,0)</f>
        <v>0</v>
      </c>
      <c r="AE143" s="420">
        <f>IF(AQ143="7",BI143,0)</f>
        <v>0</v>
      </c>
      <c r="AF143" s="420">
        <f>IF(AQ143="2",BH143,0)</f>
        <v>0</v>
      </c>
      <c r="AG143" s="420">
        <f>IF(AQ143="2",BI143,0)</f>
        <v>0</v>
      </c>
      <c r="AH143" s="420">
        <f>IF(AQ143="0",BJ143,0)</f>
        <v>0</v>
      </c>
      <c r="AI143" s="408" t="s">
        <v>654</v>
      </c>
      <c r="AJ143" s="420">
        <f>IF(AN143=0,K143,0)</f>
        <v>0</v>
      </c>
      <c r="AK143" s="420">
        <f>IF(AN143=15,K143,0)</f>
        <v>0</v>
      </c>
      <c r="AL143" s="420">
        <f>IF(AN143=21,K143,0)</f>
        <v>0</v>
      </c>
      <c r="AN143" s="420">
        <v>21</v>
      </c>
      <c r="AO143" s="420">
        <f>H143*0.436432181932</f>
        <v>0</v>
      </c>
      <c r="AP143" s="420">
        <f>H143*(1-0.436432181932)</f>
        <v>0</v>
      </c>
      <c r="AQ143" s="422" t="s">
        <v>686</v>
      </c>
      <c r="AV143" s="420">
        <f>AW143+AX143</f>
        <v>0</v>
      </c>
      <c r="AW143" s="420">
        <f>G143*AO143</f>
        <v>0</v>
      </c>
      <c r="AX143" s="420">
        <f>G143*AP143</f>
        <v>0</v>
      </c>
      <c r="AY143" s="422" t="s">
        <v>1188</v>
      </c>
      <c r="AZ143" s="422" t="s">
        <v>1189</v>
      </c>
      <c r="BA143" s="408" t="s">
        <v>662</v>
      </c>
      <c r="BC143" s="420">
        <f>AW143+AX143</f>
        <v>0</v>
      </c>
      <c r="BD143" s="420">
        <f>H143/(100-BE143)*100</f>
        <v>0</v>
      </c>
      <c r="BE143" s="420">
        <v>0</v>
      </c>
      <c r="BF143" s="420">
        <f>M143</f>
        <v>0.14597599999999999</v>
      </c>
      <c r="BH143" s="420">
        <f>G143*AO143</f>
        <v>0</v>
      </c>
      <c r="BI143" s="420">
        <f>G143*AP143</f>
        <v>0</v>
      </c>
      <c r="BJ143" s="420">
        <f>G143*H143</f>
        <v>0</v>
      </c>
      <c r="BK143" s="420"/>
      <c r="BL143" s="420">
        <v>771</v>
      </c>
    </row>
    <row r="144" spans="1:64" ht="15" customHeight="1">
      <c r="A144" s="423"/>
      <c r="D144" s="424" t="s">
        <v>1166</v>
      </c>
      <c r="E144" s="424" t="s">
        <v>654</v>
      </c>
      <c r="G144" s="425">
        <v>9.9</v>
      </c>
      <c r="N144" s="426"/>
    </row>
    <row r="145" spans="1:64" ht="15" customHeight="1">
      <c r="A145" s="423"/>
      <c r="D145" s="424" t="s">
        <v>1167</v>
      </c>
      <c r="E145" s="424" t="s">
        <v>654</v>
      </c>
      <c r="G145" s="425">
        <v>18.5</v>
      </c>
      <c r="N145" s="426"/>
    </row>
    <row r="146" spans="1:64" ht="15" customHeight="1">
      <c r="A146" s="423"/>
      <c r="D146" s="424" t="s">
        <v>1190</v>
      </c>
      <c r="E146" s="424" t="s">
        <v>654</v>
      </c>
      <c r="G146" s="425">
        <v>0</v>
      </c>
      <c r="N146" s="426"/>
    </row>
    <row r="147" spans="1:64" ht="15" customHeight="1">
      <c r="A147" s="401" t="s">
        <v>868</v>
      </c>
      <c r="B147" s="402" t="s">
        <v>654</v>
      </c>
      <c r="C147" s="402" t="s">
        <v>1191</v>
      </c>
      <c r="D147" s="440" t="s">
        <v>1192</v>
      </c>
      <c r="E147" s="440"/>
      <c r="F147" s="402" t="s">
        <v>40</v>
      </c>
      <c r="G147" s="420">
        <v>28.4</v>
      </c>
      <c r="H147" s="420"/>
      <c r="I147" s="420">
        <f>G147*AO147</f>
        <v>0</v>
      </c>
      <c r="J147" s="420">
        <f>G147*AP147</f>
        <v>0</v>
      </c>
      <c r="K147" s="420">
        <f>G147*H147</f>
        <v>0</v>
      </c>
      <c r="L147" s="420">
        <v>1.1E-4</v>
      </c>
      <c r="M147" s="420">
        <f>G147*L147</f>
        <v>3.124E-3</v>
      </c>
      <c r="N147" s="421" t="s">
        <v>1358</v>
      </c>
      <c r="Z147" s="420">
        <f>IF(AQ147="5",BJ147,0)</f>
        <v>0</v>
      </c>
      <c r="AB147" s="420">
        <f>IF(AQ147="1",BH147,0)</f>
        <v>0</v>
      </c>
      <c r="AC147" s="420">
        <f>IF(AQ147="1",BI147,0)</f>
        <v>0</v>
      </c>
      <c r="AD147" s="420">
        <f>IF(AQ147="7",BH147,0)</f>
        <v>0</v>
      </c>
      <c r="AE147" s="420">
        <f>IF(AQ147="7",BI147,0)</f>
        <v>0</v>
      </c>
      <c r="AF147" s="420">
        <f>IF(AQ147="2",BH147,0)</f>
        <v>0</v>
      </c>
      <c r="AG147" s="420">
        <f>IF(AQ147="2",BI147,0)</f>
        <v>0</v>
      </c>
      <c r="AH147" s="420">
        <f>IF(AQ147="0",BJ147,0)</f>
        <v>0</v>
      </c>
      <c r="AI147" s="408" t="s">
        <v>654</v>
      </c>
      <c r="AJ147" s="420">
        <f>IF(AN147=0,K147,0)</f>
        <v>0</v>
      </c>
      <c r="AK147" s="420">
        <f>IF(AN147=15,K147,0)</f>
        <v>0</v>
      </c>
      <c r="AL147" s="420">
        <f>IF(AN147=21,K147,0)</f>
        <v>0</v>
      </c>
      <c r="AN147" s="420">
        <v>21</v>
      </c>
      <c r="AO147" s="420">
        <f>H147*0.428239959750215</f>
        <v>0</v>
      </c>
      <c r="AP147" s="420">
        <f>H147*(1-0.428239959750215)</f>
        <v>0</v>
      </c>
      <c r="AQ147" s="422" t="s">
        <v>686</v>
      </c>
      <c r="AV147" s="420">
        <f>AW147+AX147</f>
        <v>0</v>
      </c>
      <c r="AW147" s="420">
        <f>G147*AO147</f>
        <v>0</v>
      </c>
      <c r="AX147" s="420">
        <f>G147*AP147</f>
        <v>0</v>
      </c>
      <c r="AY147" s="422" t="s">
        <v>1188</v>
      </c>
      <c r="AZ147" s="422" t="s">
        <v>1189</v>
      </c>
      <c r="BA147" s="408" t="s">
        <v>662</v>
      </c>
      <c r="BC147" s="420">
        <f>AW147+AX147</f>
        <v>0</v>
      </c>
      <c r="BD147" s="420">
        <f>H147/(100-BE147)*100</f>
        <v>0</v>
      </c>
      <c r="BE147" s="420">
        <v>0</v>
      </c>
      <c r="BF147" s="420">
        <f>M147</f>
        <v>3.124E-3</v>
      </c>
      <c r="BH147" s="420">
        <f>G147*AO147</f>
        <v>0</v>
      </c>
      <c r="BI147" s="420">
        <f>G147*AP147</f>
        <v>0</v>
      </c>
      <c r="BJ147" s="420">
        <f>G147*H147</f>
        <v>0</v>
      </c>
      <c r="BK147" s="420"/>
      <c r="BL147" s="420">
        <v>771</v>
      </c>
    </row>
    <row r="148" spans="1:64" ht="15" customHeight="1">
      <c r="A148" s="423"/>
      <c r="D148" s="424" t="s">
        <v>1193</v>
      </c>
      <c r="E148" s="424" t="s">
        <v>654</v>
      </c>
      <c r="G148" s="425">
        <v>28.400000000000002</v>
      </c>
      <c r="N148" s="426"/>
    </row>
    <row r="149" spans="1:64" ht="15" customHeight="1">
      <c r="A149" s="423"/>
      <c r="D149" s="424" t="s">
        <v>1190</v>
      </c>
      <c r="E149" s="424" t="s">
        <v>654</v>
      </c>
      <c r="G149" s="425">
        <v>0</v>
      </c>
      <c r="N149" s="426"/>
    </row>
    <row r="150" spans="1:64" ht="15" customHeight="1">
      <c r="A150" s="401" t="s">
        <v>872</v>
      </c>
      <c r="B150" s="402" t="s">
        <v>654</v>
      </c>
      <c r="C150" s="402" t="s">
        <v>1194</v>
      </c>
      <c r="D150" s="440" t="s">
        <v>1195</v>
      </c>
      <c r="E150" s="440"/>
      <c r="F150" s="402" t="s">
        <v>40</v>
      </c>
      <c r="G150" s="420">
        <v>28.4</v>
      </c>
      <c r="H150" s="420"/>
      <c r="I150" s="420">
        <f>G150*AO150</f>
        <v>0</v>
      </c>
      <c r="J150" s="420">
        <f>G150*AP150</f>
        <v>0</v>
      </c>
      <c r="K150" s="420">
        <f>G150*H150</f>
        <v>0</v>
      </c>
      <c r="L150" s="420">
        <v>2.31E-3</v>
      </c>
      <c r="M150" s="420">
        <f>G150*L150</f>
        <v>6.5603999999999996E-2</v>
      </c>
      <c r="N150" s="421" t="s">
        <v>1358</v>
      </c>
      <c r="Z150" s="420">
        <f>IF(AQ150="5",BJ150,0)</f>
        <v>0</v>
      </c>
      <c r="AB150" s="420">
        <f>IF(AQ150="1",BH150,0)</f>
        <v>0</v>
      </c>
      <c r="AC150" s="420">
        <f>IF(AQ150="1",BI150,0)</f>
        <v>0</v>
      </c>
      <c r="AD150" s="420">
        <f>IF(AQ150="7",BH150,0)</f>
        <v>0</v>
      </c>
      <c r="AE150" s="420">
        <f>IF(AQ150="7",BI150,0)</f>
        <v>0</v>
      </c>
      <c r="AF150" s="420">
        <f>IF(AQ150="2",BH150,0)</f>
        <v>0</v>
      </c>
      <c r="AG150" s="420">
        <f>IF(AQ150="2",BI150,0)</f>
        <v>0</v>
      </c>
      <c r="AH150" s="420">
        <f>IF(AQ150="0",BJ150,0)</f>
        <v>0</v>
      </c>
      <c r="AI150" s="408" t="s">
        <v>654</v>
      </c>
      <c r="AJ150" s="420">
        <f>IF(AN150=0,K150,0)</f>
        <v>0</v>
      </c>
      <c r="AK150" s="420">
        <f>IF(AN150=15,K150,0)</f>
        <v>0</v>
      </c>
      <c r="AL150" s="420">
        <f>IF(AN150=21,K150,0)</f>
        <v>0</v>
      </c>
      <c r="AN150" s="420">
        <v>21</v>
      </c>
      <c r="AO150" s="420">
        <f>H150*0.169764150943396</f>
        <v>0</v>
      </c>
      <c r="AP150" s="420">
        <f>H150*(1-0.169764150943396)</f>
        <v>0</v>
      </c>
      <c r="AQ150" s="422" t="s">
        <v>686</v>
      </c>
      <c r="AV150" s="420">
        <f>AW150+AX150</f>
        <v>0</v>
      </c>
      <c r="AW150" s="420">
        <f>G150*AO150</f>
        <v>0</v>
      </c>
      <c r="AX150" s="420">
        <f>G150*AP150</f>
        <v>0</v>
      </c>
      <c r="AY150" s="422" t="s">
        <v>1188</v>
      </c>
      <c r="AZ150" s="422" t="s">
        <v>1189</v>
      </c>
      <c r="BA150" s="408" t="s">
        <v>662</v>
      </c>
      <c r="BC150" s="420">
        <f>AW150+AX150</f>
        <v>0</v>
      </c>
      <c r="BD150" s="420">
        <f>H150/(100-BE150)*100</f>
        <v>0</v>
      </c>
      <c r="BE150" s="420">
        <v>0</v>
      </c>
      <c r="BF150" s="420">
        <f>M150</f>
        <v>6.5603999999999996E-2</v>
      </c>
      <c r="BH150" s="420">
        <f>G150*AO150</f>
        <v>0</v>
      </c>
      <c r="BI150" s="420">
        <f>G150*AP150</f>
        <v>0</v>
      </c>
      <c r="BJ150" s="420">
        <f>G150*H150</f>
        <v>0</v>
      </c>
      <c r="BK150" s="420"/>
      <c r="BL150" s="420">
        <v>771</v>
      </c>
    </row>
    <row r="151" spans="1:64" ht="15" customHeight="1">
      <c r="A151" s="423"/>
      <c r="D151" s="424" t="s">
        <v>1193</v>
      </c>
      <c r="E151" s="424" t="s">
        <v>654</v>
      </c>
      <c r="G151" s="425">
        <v>28.400000000000002</v>
      </c>
      <c r="N151" s="426"/>
    </row>
    <row r="152" spans="1:64" ht="15" customHeight="1">
      <c r="A152" s="423"/>
      <c r="D152" s="424" t="s">
        <v>1190</v>
      </c>
      <c r="E152" s="424" t="s">
        <v>654</v>
      </c>
      <c r="G152" s="425">
        <v>0</v>
      </c>
      <c r="N152" s="426"/>
    </row>
    <row r="153" spans="1:64" ht="15" customHeight="1">
      <c r="A153" s="401" t="s">
        <v>876</v>
      </c>
      <c r="B153" s="402" t="s">
        <v>654</v>
      </c>
      <c r="C153" s="402" t="s">
        <v>1196</v>
      </c>
      <c r="D153" s="440" t="s">
        <v>1197</v>
      </c>
      <c r="E153" s="440"/>
      <c r="F153" s="402" t="s">
        <v>40</v>
      </c>
      <c r="G153" s="420">
        <v>30</v>
      </c>
      <c r="H153" s="420"/>
      <c r="I153" s="420">
        <f>G153*AO153</f>
        <v>0</v>
      </c>
      <c r="J153" s="420">
        <f>G153*AP153</f>
        <v>0</v>
      </c>
      <c r="K153" s="420">
        <f>G153*H153</f>
        <v>0</v>
      </c>
      <c r="L153" s="420">
        <v>0</v>
      </c>
      <c r="M153" s="420">
        <f>G153*L153</f>
        <v>0</v>
      </c>
      <c r="N153" s="421" t="s">
        <v>654</v>
      </c>
      <c r="Z153" s="420">
        <f>IF(AQ153="5",BJ153,0)</f>
        <v>0</v>
      </c>
      <c r="AB153" s="420">
        <f>IF(AQ153="1",BH153,0)</f>
        <v>0</v>
      </c>
      <c r="AC153" s="420">
        <f>IF(AQ153="1",BI153,0)</f>
        <v>0</v>
      </c>
      <c r="AD153" s="420">
        <f>IF(AQ153="7",BH153,0)</f>
        <v>0</v>
      </c>
      <c r="AE153" s="420">
        <f>IF(AQ153="7",BI153,0)</f>
        <v>0</v>
      </c>
      <c r="AF153" s="420">
        <f>IF(AQ153="2",BH153,0)</f>
        <v>0</v>
      </c>
      <c r="AG153" s="420">
        <f>IF(AQ153="2",BI153,0)</f>
        <v>0</v>
      </c>
      <c r="AH153" s="420">
        <f>IF(AQ153="0",BJ153,0)</f>
        <v>0</v>
      </c>
      <c r="AI153" s="408" t="s">
        <v>654</v>
      </c>
      <c r="AJ153" s="420">
        <f>IF(AN153=0,K153,0)</f>
        <v>0</v>
      </c>
      <c r="AK153" s="420">
        <f>IF(AN153=15,K153,0)</f>
        <v>0</v>
      </c>
      <c r="AL153" s="420">
        <f>IF(AN153=21,K153,0)</f>
        <v>0</v>
      </c>
      <c r="AN153" s="420">
        <v>21</v>
      </c>
      <c r="AO153" s="420">
        <f>H153*1</f>
        <v>0</v>
      </c>
      <c r="AP153" s="420">
        <f>H153*(1-1)</f>
        <v>0</v>
      </c>
      <c r="AQ153" s="422" t="s">
        <v>686</v>
      </c>
      <c r="AV153" s="420">
        <f>AW153+AX153</f>
        <v>0</v>
      </c>
      <c r="AW153" s="420">
        <f>G153*AO153</f>
        <v>0</v>
      </c>
      <c r="AX153" s="420">
        <f>G153*AP153</f>
        <v>0</v>
      </c>
      <c r="AY153" s="422" t="s">
        <v>1188</v>
      </c>
      <c r="AZ153" s="422" t="s">
        <v>1189</v>
      </c>
      <c r="BA153" s="408" t="s">
        <v>662</v>
      </c>
      <c r="BC153" s="420">
        <f>AW153+AX153</f>
        <v>0</v>
      </c>
      <c r="BD153" s="420">
        <f>H153/(100-BE153)*100</f>
        <v>0</v>
      </c>
      <c r="BE153" s="420">
        <v>0</v>
      </c>
      <c r="BF153" s="420">
        <f>M153</f>
        <v>0</v>
      </c>
      <c r="BH153" s="420">
        <f>G153*AO153</f>
        <v>0</v>
      </c>
      <c r="BI153" s="420">
        <f>G153*AP153</f>
        <v>0</v>
      </c>
      <c r="BJ153" s="420">
        <f>G153*H153</f>
        <v>0</v>
      </c>
      <c r="BK153" s="420"/>
      <c r="BL153" s="420">
        <v>771</v>
      </c>
    </row>
    <row r="154" spans="1:64" ht="15" customHeight="1">
      <c r="A154" s="423"/>
      <c r="D154" s="424" t="s">
        <v>1198</v>
      </c>
      <c r="E154" s="424" t="s">
        <v>654</v>
      </c>
      <c r="G154" s="425">
        <v>30.000000000000004</v>
      </c>
      <c r="N154" s="426"/>
    </row>
    <row r="155" spans="1:64" ht="15" customHeight="1">
      <c r="A155" s="401" t="s">
        <v>882</v>
      </c>
      <c r="B155" s="402" t="s">
        <v>654</v>
      </c>
      <c r="C155" s="402" t="s">
        <v>1199</v>
      </c>
      <c r="D155" s="440" t="s">
        <v>1200</v>
      </c>
      <c r="E155" s="440"/>
      <c r="F155" s="402" t="s">
        <v>40</v>
      </c>
      <c r="G155" s="420">
        <v>28.4</v>
      </c>
      <c r="H155" s="420"/>
      <c r="I155" s="420">
        <f>G155*AO155</f>
        <v>0</v>
      </c>
      <c r="J155" s="420">
        <f>G155*AP155</f>
        <v>0</v>
      </c>
      <c r="K155" s="420">
        <f>G155*H155</f>
        <v>0</v>
      </c>
      <c r="L155" s="420">
        <v>8.6999999999999994E-2</v>
      </c>
      <c r="M155" s="420">
        <f>G155*L155</f>
        <v>2.4707999999999997</v>
      </c>
      <c r="N155" s="421" t="s">
        <v>1358</v>
      </c>
      <c r="Z155" s="420">
        <f>IF(AQ155="5",BJ155,0)</f>
        <v>0</v>
      </c>
      <c r="AB155" s="420">
        <f>IF(AQ155="1",BH155,0)</f>
        <v>0</v>
      </c>
      <c r="AC155" s="420">
        <f>IF(AQ155="1",BI155,0)</f>
        <v>0</v>
      </c>
      <c r="AD155" s="420">
        <f>IF(AQ155="7",BH155,0)</f>
        <v>0</v>
      </c>
      <c r="AE155" s="420">
        <f>IF(AQ155="7",BI155,0)</f>
        <v>0</v>
      </c>
      <c r="AF155" s="420">
        <f>IF(AQ155="2",BH155,0)</f>
        <v>0</v>
      </c>
      <c r="AG155" s="420">
        <f>IF(AQ155="2",BI155,0)</f>
        <v>0</v>
      </c>
      <c r="AH155" s="420">
        <f>IF(AQ155="0",BJ155,0)</f>
        <v>0</v>
      </c>
      <c r="AI155" s="408" t="s">
        <v>654</v>
      </c>
      <c r="AJ155" s="420">
        <f>IF(AN155=0,K155,0)</f>
        <v>0</v>
      </c>
      <c r="AK155" s="420">
        <f>IF(AN155=15,K155,0)</f>
        <v>0</v>
      </c>
      <c r="AL155" s="420">
        <f>IF(AN155=21,K155,0)</f>
        <v>0</v>
      </c>
      <c r="AN155" s="420">
        <v>21</v>
      </c>
      <c r="AO155" s="420">
        <f>H155*0</f>
        <v>0</v>
      </c>
      <c r="AP155" s="420">
        <f>H155*(1-0)</f>
        <v>0</v>
      </c>
      <c r="AQ155" s="422" t="s">
        <v>686</v>
      </c>
      <c r="AV155" s="420">
        <f>AW155+AX155</f>
        <v>0</v>
      </c>
      <c r="AW155" s="420">
        <f>G155*AO155</f>
        <v>0</v>
      </c>
      <c r="AX155" s="420">
        <f>G155*AP155</f>
        <v>0</v>
      </c>
      <c r="AY155" s="422" t="s">
        <v>1188</v>
      </c>
      <c r="AZ155" s="422" t="s">
        <v>1189</v>
      </c>
      <c r="BA155" s="408" t="s">
        <v>662</v>
      </c>
      <c r="BC155" s="420">
        <f>AW155+AX155</f>
        <v>0</v>
      </c>
      <c r="BD155" s="420">
        <f>H155/(100-BE155)*100</f>
        <v>0</v>
      </c>
      <c r="BE155" s="420">
        <v>0</v>
      </c>
      <c r="BF155" s="420">
        <f>M155</f>
        <v>2.4707999999999997</v>
      </c>
      <c r="BH155" s="420">
        <f>G155*AO155</f>
        <v>0</v>
      </c>
      <c r="BI155" s="420">
        <f>G155*AP155</f>
        <v>0</v>
      </c>
      <c r="BJ155" s="420">
        <f>G155*H155</f>
        <v>0</v>
      </c>
      <c r="BK155" s="420"/>
      <c r="BL155" s="420">
        <v>771</v>
      </c>
    </row>
    <row r="156" spans="1:64" ht="15" customHeight="1">
      <c r="A156" s="423"/>
      <c r="D156" s="424" t="s">
        <v>1166</v>
      </c>
      <c r="E156" s="424" t="s">
        <v>654</v>
      </c>
      <c r="G156" s="425">
        <v>9.9</v>
      </c>
      <c r="N156" s="426"/>
    </row>
    <row r="157" spans="1:64" ht="15" customHeight="1">
      <c r="A157" s="423"/>
      <c r="D157" s="424" t="s">
        <v>1167</v>
      </c>
      <c r="E157" s="424" t="s">
        <v>654</v>
      </c>
      <c r="G157" s="425">
        <v>18.5</v>
      </c>
      <c r="N157" s="426"/>
    </row>
    <row r="158" spans="1:64" ht="15" customHeight="1">
      <c r="A158" s="416" t="s">
        <v>654</v>
      </c>
      <c r="B158" s="417" t="s">
        <v>654</v>
      </c>
      <c r="C158" s="417" t="s">
        <v>1201</v>
      </c>
      <c r="D158" s="455" t="s">
        <v>1202</v>
      </c>
      <c r="E158" s="455"/>
      <c r="F158" s="418" t="s">
        <v>608</v>
      </c>
      <c r="G158" s="418" t="s">
        <v>608</v>
      </c>
      <c r="H158" s="418"/>
      <c r="I158" s="400">
        <f>SUM(I159:I159)</f>
        <v>0</v>
      </c>
      <c r="J158" s="400">
        <f>SUM(J159:J159)</f>
        <v>0</v>
      </c>
      <c r="K158" s="400">
        <f>SUM(K159:K159)</f>
        <v>0</v>
      </c>
      <c r="L158" s="408" t="s">
        <v>654</v>
      </c>
      <c r="M158" s="400">
        <f>SUM(M159:M159)</f>
        <v>0</v>
      </c>
      <c r="N158" s="419" t="s">
        <v>654</v>
      </c>
      <c r="AI158" s="408" t="s">
        <v>654</v>
      </c>
      <c r="AS158" s="400">
        <f>SUM(AJ159:AJ159)</f>
        <v>0</v>
      </c>
      <c r="AT158" s="400">
        <f>SUM(AK159:AK159)</f>
        <v>0</v>
      </c>
      <c r="AU158" s="400">
        <f>SUM(AL159:AL159)</f>
        <v>0</v>
      </c>
    </row>
    <row r="159" spans="1:64" ht="15" customHeight="1">
      <c r="A159" s="401" t="s">
        <v>887</v>
      </c>
      <c r="B159" s="402" t="s">
        <v>654</v>
      </c>
      <c r="C159" s="402" t="s">
        <v>1203</v>
      </c>
      <c r="D159" s="440" t="s">
        <v>1204</v>
      </c>
      <c r="E159" s="440"/>
      <c r="F159" s="402" t="s">
        <v>660</v>
      </c>
      <c r="G159" s="420">
        <v>1</v>
      </c>
      <c r="H159" s="420"/>
      <c r="I159" s="420">
        <f>G159*AO159</f>
        <v>0</v>
      </c>
      <c r="J159" s="420">
        <f>G159*AP159</f>
        <v>0</v>
      </c>
      <c r="K159" s="420">
        <f>G159*H159</f>
        <v>0</v>
      </c>
      <c r="L159" s="420">
        <v>0</v>
      </c>
      <c r="M159" s="420">
        <f>G159*L159</f>
        <v>0</v>
      </c>
      <c r="N159" s="421" t="s">
        <v>654</v>
      </c>
      <c r="Z159" s="420">
        <f>IF(AQ159="5",BJ159,0)</f>
        <v>0</v>
      </c>
      <c r="AB159" s="420">
        <f>IF(AQ159="1",BH159,0)</f>
        <v>0</v>
      </c>
      <c r="AC159" s="420">
        <f>IF(AQ159="1",BI159,0)</f>
        <v>0</v>
      </c>
      <c r="AD159" s="420">
        <f>IF(AQ159="7",BH159,0)</f>
        <v>0</v>
      </c>
      <c r="AE159" s="420">
        <f>IF(AQ159="7",BI159,0)</f>
        <v>0</v>
      </c>
      <c r="AF159" s="420">
        <f>IF(AQ159="2",BH159,0)</f>
        <v>0</v>
      </c>
      <c r="AG159" s="420">
        <f>IF(AQ159="2",BI159,0)</f>
        <v>0</v>
      </c>
      <c r="AH159" s="420">
        <f>IF(AQ159="0",BJ159,0)</f>
        <v>0</v>
      </c>
      <c r="AI159" s="408" t="s">
        <v>654</v>
      </c>
      <c r="AJ159" s="420">
        <f>IF(AN159=0,K159,0)</f>
        <v>0</v>
      </c>
      <c r="AK159" s="420">
        <f>IF(AN159=15,K159,0)</f>
        <v>0</v>
      </c>
      <c r="AL159" s="420">
        <f>IF(AN159=21,K159,0)</f>
        <v>0</v>
      </c>
      <c r="AN159" s="420">
        <v>21</v>
      </c>
      <c r="AO159" s="420">
        <f>H159*0.5</f>
        <v>0</v>
      </c>
      <c r="AP159" s="420">
        <f>H159*(1-0.5)</f>
        <v>0</v>
      </c>
      <c r="AQ159" s="422" t="s">
        <v>686</v>
      </c>
      <c r="AV159" s="420">
        <f>AW159+AX159</f>
        <v>0</v>
      </c>
      <c r="AW159" s="420">
        <f>G159*AO159</f>
        <v>0</v>
      </c>
      <c r="AX159" s="420">
        <f>G159*AP159</f>
        <v>0</v>
      </c>
      <c r="AY159" s="422" t="s">
        <v>1205</v>
      </c>
      <c r="AZ159" s="422" t="s">
        <v>1206</v>
      </c>
      <c r="BA159" s="408" t="s">
        <v>662</v>
      </c>
      <c r="BC159" s="420">
        <f>AW159+AX159</f>
        <v>0</v>
      </c>
      <c r="BD159" s="420">
        <f>H159/(100-BE159)*100</f>
        <v>0</v>
      </c>
      <c r="BE159" s="420">
        <v>0</v>
      </c>
      <c r="BF159" s="420">
        <f>M159</f>
        <v>0</v>
      </c>
      <c r="BH159" s="420">
        <f>G159*AO159</f>
        <v>0</v>
      </c>
      <c r="BI159" s="420">
        <f>G159*AP159</f>
        <v>0</v>
      </c>
      <c r="BJ159" s="420">
        <f>G159*H159</f>
        <v>0</v>
      </c>
      <c r="BK159" s="420"/>
      <c r="BL159" s="420">
        <v>781</v>
      </c>
    </row>
    <row r="160" spans="1:64" ht="15" customHeight="1">
      <c r="A160" s="423"/>
      <c r="D160" s="424" t="s">
        <v>1207</v>
      </c>
      <c r="E160" s="424" t="s">
        <v>654</v>
      </c>
      <c r="G160" s="425">
        <v>1</v>
      </c>
      <c r="N160" s="426"/>
    </row>
    <row r="161" spans="1:64" ht="15" customHeight="1">
      <c r="A161" s="416" t="s">
        <v>654</v>
      </c>
      <c r="B161" s="417" t="s">
        <v>654</v>
      </c>
      <c r="C161" s="417" t="s">
        <v>1208</v>
      </c>
      <c r="D161" s="455" t="s">
        <v>1209</v>
      </c>
      <c r="E161" s="455"/>
      <c r="F161" s="418" t="s">
        <v>608</v>
      </c>
      <c r="G161" s="418" t="s">
        <v>608</v>
      </c>
      <c r="H161" s="418"/>
      <c r="I161" s="400">
        <f>SUM(I162:I172)</f>
        <v>0</v>
      </c>
      <c r="J161" s="400">
        <f>SUM(J162:J172)</f>
        <v>0</v>
      </c>
      <c r="K161" s="400">
        <f>SUM(K162:K172)</f>
        <v>0</v>
      </c>
      <c r="L161" s="408" t="s">
        <v>654</v>
      </c>
      <c r="M161" s="400">
        <f>SUM(M162:M172)</f>
        <v>8.9337899999999987E-3</v>
      </c>
      <c r="N161" s="419" t="s">
        <v>654</v>
      </c>
      <c r="AI161" s="408" t="s">
        <v>654</v>
      </c>
      <c r="AS161" s="400">
        <f>SUM(AJ162:AJ172)</f>
        <v>0</v>
      </c>
      <c r="AT161" s="400">
        <f>SUM(AK162:AK172)</f>
        <v>0</v>
      </c>
      <c r="AU161" s="400">
        <f>SUM(AL162:AL172)</f>
        <v>0</v>
      </c>
    </row>
    <row r="162" spans="1:64" ht="15" customHeight="1">
      <c r="A162" s="401" t="s">
        <v>893</v>
      </c>
      <c r="B162" s="402" t="s">
        <v>654</v>
      </c>
      <c r="C162" s="402" t="s">
        <v>1210</v>
      </c>
      <c r="D162" s="440" t="s">
        <v>1211</v>
      </c>
      <c r="E162" s="440"/>
      <c r="F162" s="402" t="s">
        <v>40</v>
      </c>
      <c r="G162" s="420">
        <v>11.138999999999999</v>
      </c>
      <c r="H162" s="420"/>
      <c r="I162" s="420">
        <f>G162*AO162</f>
        <v>0</v>
      </c>
      <c r="J162" s="420">
        <f>G162*AP162</f>
        <v>0</v>
      </c>
      <c r="K162" s="420">
        <f>G162*H162</f>
        <v>0</v>
      </c>
      <c r="L162" s="420">
        <v>6.0999999999999997E-4</v>
      </c>
      <c r="M162" s="420">
        <f>G162*L162</f>
        <v>6.7947899999999993E-3</v>
      </c>
      <c r="N162" s="421" t="s">
        <v>1358</v>
      </c>
      <c r="Z162" s="420">
        <f>IF(AQ162="5",BJ162,0)</f>
        <v>0</v>
      </c>
      <c r="AB162" s="420">
        <f>IF(AQ162="1",BH162,0)</f>
        <v>0</v>
      </c>
      <c r="AC162" s="420">
        <f>IF(AQ162="1",BI162,0)</f>
        <v>0</v>
      </c>
      <c r="AD162" s="420">
        <f>IF(AQ162="7",BH162,0)</f>
        <v>0</v>
      </c>
      <c r="AE162" s="420">
        <f>IF(AQ162="7",BI162,0)</f>
        <v>0</v>
      </c>
      <c r="AF162" s="420">
        <f>IF(AQ162="2",BH162,0)</f>
        <v>0</v>
      </c>
      <c r="AG162" s="420">
        <f>IF(AQ162="2",BI162,0)</f>
        <v>0</v>
      </c>
      <c r="AH162" s="420">
        <f>IF(AQ162="0",BJ162,0)</f>
        <v>0</v>
      </c>
      <c r="AI162" s="408" t="s">
        <v>654</v>
      </c>
      <c r="AJ162" s="420">
        <f>IF(AN162=0,K162,0)</f>
        <v>0</v>
      </c>
      <c r="AK162" s="420">
        <f>IF(AN162=15,K162,0)</f>
        <v>0</v>
      </c>
      <c r="AL162" s="420">
        <f>IF(AN162=21,K162,0)</f>
        <v>0</v>
      </c>
      <c r="AN162" s="420">
        <v>21</v>
      </c>
      <c r="AO162" s="420">
        <f>H162*0.289127894346288</f>
        <v>0</v>
      </c>
      <c r="AP162" s="420">
        <f>H162*(1-0.289127894346288)</f>
        <v>0</v>
      </c>
      <c r="AQ162" s="422" t="s">
        <v>686</v>
      </c>
      <c r="AV162" s="420">
        <f>AW162+AX162</f>
        <v>0</v>
      </c>
      <c r="AW162" s="420">
        <f>G162*AO162</f>
        <v>0</v>
      </c>
      <c r="AX162" s="420">
        <f>G162*AP162</f>
        <v>0</v>
      </c>
      <c r="AY162" s="422" t="s">
        <v>1212</v>
      </c>
      <c r="AZ162" s="422" t="s">
        <v>1206</v>
      </c>
      <c r="BA162" s="408" t="s">
        <v>662</v>
      </c>
      <c r="BC162" s="420">
        <f>AW162+AX162</f>
        <v>0</v>
      </c>
      <c r="BD162" s="420">
        <f>H162/(100-BE162)*100</f>
        <v>0</v>
      </c>
      <c r="BE162" s="420">
        <v>0</v>
      </c>
      <c r="BF162" s="420">
        <f>M162</f>
        <v>6.7947899999999993E-3</v>
      </c>
      <c r="BH162" s="420">
        <f>G162*AO162</f>
        <v>0</v>
      </c>
      <c r="BI162" s="420">
        <f>G162*AP162</f>
        <v>0</v>
      </c>
      <c r="BJ162" s="420">
        <f>G162*H162</f>
        <v>0</v>
      </c>
      <c r="BK162" s="420"/>
      <c r="BL162" s="420">
        <v>783</v>
      </c>
    </row>
    <row r="163" spans="1:64" ht="15" customHeight="1">
      <c r="A163" s="423"/>
      <c r="D163" s="424" t="s">
        <v>1213</v>
      </c>
      <c r="E163" s="424" t="s">
        <v>654</v>
      </c>
      <c r="G163" s="425">
        <v>11.139000000000001</v>
      </c>
      <c r="N163" s="426"/>
    </row>
    <row r="164" spans="1:64" ht="15" customHeight="1">
      <c r="A164" s="401" t="s">
        <v>828</v>
      </c>
      <c r="B164" s="402" t="s">
        <v>654</v>
      </c>
      <c r="C164" s="402" t="s">
        <v>1214</v>
      </c>
      <c r="D164" s="440" t="s">
        <v>1215</v>
      </c>
      <c r="E164" s="440"/>
      <c r="F164" s="402" t="s">
        <v>40</v>
      </c>
      <c r="G164" s="420">
        <v>4.6500000000000004</v>
      </c>
      <c r="H164" s="420"/>
      <c r="I164" s="420">
        <f>G164*AO164</f>
        <v>0</v>
      </c>
      <c r="J164" s="420">
        <f>G164*AP164</f>
        <v>0</v>
      </c>
      <c r="K164" s="420">
        <f>G164*H164</f>
        <v>0</v>
      </c>
      <c r="L164" s="420">
        <v>1.0000000000000001E-5</v>
      </c>
      <c r="M164" s="420">
        <f>G164*L164</f>
        <v>4.6500000000000005E-5</v>
      </c>
      <c r="N164" s="421" t="s">
        <v>1358</v>
      </c>
      <c r="Z164" s="420">
        <f>IF(AQ164="5",BJ164,0)</f>
        <v>0</v>
      </c>
      <c r="AB164" s="420">
        <f>IF(AQ164="1",BH164,0)</f>
        <v>0</v>
      </c>
      <c r="AC164" s="420">
        <f>IF(AQ164="1",BI164,0)</f>
        <v>0</v>
      </c>
      <c r="AD164" s="420">
        <f>IF(AQ164="7",BH164,0)</f>
        <v>0</v>
      </c>
      <c r="AE164" s="420">
        <f>IF(AQ164="7",BI164,0)</f>
        <v>0</v>
      </c>
      <c r="AF164" s="420">
        <f>IF(AQ164="2",BH164,0)</f>
        <v>0</v>
      </c>
      <c r="AG164" s="420">
        <f>IF(AQ164="2",BI164,0)</f>
        <v>0</v>
      </c>
      <c r="AH164" s="420">
        <f>IF(AQ164="0",BJ164,0)</f>
        <v>0</v>
      </c>
      <c r="AI164" s="408" t="s">
        <v>654</v>
      </c>
      <c r="AJ164" s="420">
        <f>IF(AN164=0,K164,0)</f>
        <v>0</v>
      </c>
      <c r="AK164" s="420">
        <f>IF(AN164=15,K164,0)</f>
        <v>0</v>
      </c>
      <c r="AL164" s="420">
        <f>IF(AN164=21,K164,0)</f>
        <v>0</v>
      </c>
      <c r="AN164" s="420">
        <v>21</v>
      </c>
      <c r="AO164" s="420">
        <f>H164*0.0627986702680241</f>
        <v>0</v>
      </c>
      <c r="AP164" s="420">
        <f>H164*(1-0.0627986702680241)</f>
        <v>0</v>
      </c>
      <c r="AQ164" s="422" t="s">
        <v>686</v>
      </c>
      <c r="AV164" s="420">
        <f>AW164+AX164</f>
        <v>0</v>
      </c>
      <c r="AW164" s="420">
        <f>G164*AO164</f>
        <v>0</v>
      </c>
      <c r="AX164" s="420">
        <f>G164*AP164</f>
        <v>0</v>
      </c>
      <c r="AY164" s="422" t="s">
        <v>1212</v>
      </c>
      <c r="AZ164" s="422" t="s">
        <v>1206</v>
      </c>
      <c r="BA164" s="408" t="s">
        <v>662</v>
      </c>
      <c r="BC164" s="420">
        <f>AW164+AX164</f>
        <v>0</v>
      </c>
      <c r="BD164" s="420">
        <f>H164/(100-BE164)*100</f>
        <v>0</v>
      </c>
      <c r="BE164" s="420">
        <v>0</v>
      </c>
      <c r="BF164" s="420">
        <f>M164</f>
        <v>4.6500000000000005E-5</v>
      </c>
      <c r="BH164" s="420">
        <f>G164*AO164</f>
        <v>0</v>
      </c>
      <c r="BI164" s="420">
        <f>G164*AP164</f>
        <v>0</v>
      </c>
      <c r="BJ164" s="420">
        <f>G164*H164</f>
        <v>0</v>
      </c>
      <c r="BK164" s="420"/>
      <c r="BL164" s="420">
        <v>783</v>
      </c>
    </row>
    <row r="165" spans="1:64" ht="15" customHeight="1">
      <c r="A165" s="423"/>
      <c r="D165" s="424" t="s">
        <v>1216</v>
      </c>
      <c r="E165" s="424" t="s">
        <v>654</v>
      </c>
      <c r="G165" s="425">
        <v>4.6500000000000004</v>
      </c>
      <c r="N165" s="426"/>
    </row>
    <row r="166" spans="1:64" ht="15" customHeight="1">
      <c r="A166" s="401" t="s">
        <v>842</v>
      </c>
      <c r="B166" s="402" t="s">
        <v>654</v>
      </c>
      <c r="C166" s="402" t="s">
        <v>1217</v>
      </c>
      <c r="D166" s="440" t="s">
        <v>1218</v>
      </c>
      <c r="E166" s="440"/>
      <c r="F166" s="402" t="s">
        <v>40</v>
      </c>
      <c r="G166" s="420">
        <v>4.6500000000000004</v>
      </c>
      <c r="H166" s="420"/>
      <c r="I166" s="420">
        <f>G166*AO166</f>
        <v>0</v>
      </c>
      <c r="J166" s="420">
        <f>G166*AP166</f>
        <v>0</v>
      </c>
      <c r="K166" s="420">
        <f>G166*H166</f>
        <v>0</v>
      </c>
      <c r="L166" s="420">
        <v>6.9999999999999994E-5</v>
      </c>
      <c r="M166" s="420">
        <f>G166*L166</f>
        <v>3.255E-4</v>
      </c>
      <c r="N166" s="421" t="s">
        <v>1358</v>
      </c>
      <c r="Z166" s="420">
        <f>IF(AQ166="5",BJ166,0)</f>
        <v>0</v>
      </c>
      <c r="AB166" s="420">
        <f>IF(AQ166="1",BH166,0)</f>
        <v>0</v>
      </c>
      <c r="AC166" s="420">
        <f>IF(AQ166="1",BI166,0)</f>
        <v>0</v>
      </c>
      <c r="AD166" s="420">
        <f>IF(AQ166="7",BH166,0)</f>
        <v>0</v>
      </c>
      <c r="AE166" s="420">
        <f>IF(AQ166="7",BI166,0)</f>
        <v>0</v>
      </c>
      <c r="AF166" s="420">
        <f>IF(AQ166="2",BH166,0)</f>
        <v>0</v>
      </c>
      <c r="AG166" s="420">
        <f>IF(AQ166="2",BI166,0)</f>
        <v>0</v>
      </c>
      <c r="AH166" s="420">
        <f>IF(AQ166="0",BJ166,0)</f>
        <v>0</v>
      </c>
      <c r="AI166" s="408" t="s">
        <v>654</v>
      </c>
      <c r="AJ166" s="420">
        <f>IF(AN166=0,K166,0)</f>
        <v>0</v>
      </c>
      <c r="AK166" s="420">
        <f>IF(AN166=15,K166,0)</f>
        <v>0</v>
      </c>
      <c r="AL166" s="420">
        <f>IF(AN166=21,K166,0)</f>
        <v>0</v>
      </c>
      <c r="AN166" s="420">
        <v>21</v>
      </c>
      <c r="AO166" s="420">
        <f>H166*0.114714285714286</f>
        <v>0</v>
      </c>
      <c r="AP166" s="420">
        <f>H166*(1-0.114714285714286)</f>
        <v>0</v>
      </c>
      <c r="AQ166" s="422" t="s">
        <v>686</v>
      </c>
      <c r="AV166" s="420">
        <f>AW166+AX166</f>
        <v>0</v>
      </c>
      <c r="AW166" s="420">
        <f>G166*AO166</f>
        <v>0</v>
      </c>
      <c r="AX166" s="420">
        <f>G166*AP166</f>
        <v>0</v>
      </c>
      <c r="AY166" s="422" t="s">
        <v>1212</v>
      </c>
      <c r="AZ166" s="422" t="s">
        <v>1206</v>
      </c>
      <c r="BA166" s="408" t="s">
        <v>662</v>
      </c>
      <c r="BC166" s="420">
        <f>AW166+AX166</f>
        <v>0</v>
      </c>
      <c r="BD166" s="420">
        <f>H166/(100-BE166)*100</f>
        <v>0</v>
      </c>
      <c r="BE166" s="420">
        <v>0</v>
      </c>
      <c r="BF166" s="420">
        <f>M166</f>
        <v>3.255E-4</v>
      </c>
      <c r="BH166" s="420">
        <f>G166*AO166</f>
        <v>0</v>
      </c>
      <c r="BI166" s="420">
        <f>G166*AP166</f>
        <v>0</v>
      </c>
      <c r="BJ166" s="420">
        <f>G166*H166</f>
        <v>0</v>
      </c>
      <c r="BK166" s="420"/>
      <c r="BL166" s="420">
        <v>783</v>
      </c>
    </row>
    <row r="167" spans="1:64" ht="15" customHeight="1">
      <c r="A167" s="423"/>
      <c r="D167" s="424" t="s">
        <v>1219</v>
      </c>
      <c r="E167" s="424" t="s">
        <v>654</v>
      </c>
      <c r="G167" s="425">
        <v>4.6500000000000004</v>
      </c>
      <c r="N167" s="426"/>
    </row>
    <row r="168" spans="1:64" ht="15" customHeight="1">
      <c r="A168" s="401" t="s">
        <v>900</v>
      </c>
      <c r="B168" s="402" t="s">
        <v>654</v>
      </c>
      <c r="C168" s="402" t="s">
        <v>1220</v>
      </c>
      <c r="D168" s="440" t="s">
        <v>1221</v>
      </c>
      <c r="E168" s="440"/>
      <c r="F168" s="402" t="s">
        <v>40</v>
      </c>
      <c r="G168" s="420">
        <v>4.6500000000000004</v>
      </c>
      <c r="H168" s="420"/>
      <c r="I168" s="420">
        <f>G168*AO168</f>
        <v>0</v>
      </c>
      <c r="J168" s="420">
        <f>G168*AP168</f>
        <v>0</v>
      </c>
      <c r="K168" s="420">
        <f>G168*H168</f>
        <v>0</v>
      </c>
      <c r="L168" s="420">
        <v>1.0000000000000001E-5</v>
      </c>
      <c r="M168" s="420">
        <f>G168*L168</f>
        <v>4.6500000000000005E-5</v>
      </c>
      <c r="N168" s="421" t="s">
        <v>1358</v>
      </c>
      <c r="Z168" s="420">
        <f>IF(AQ168="5",BJ168,0)</f>
        <v>0</v>
      </c>
      <c r="AB168" s="420">
        <f>IF(AQ168="1",BH168,0)</f>
        <v>0</v>
      </c>
      <c r="AC168" s="420">
        <f>IF(AQ168="1",BI168,0)</f>
        <v>0</v>
      </c>
      <c r="AD168" s="420">
        <f>IF(AQ168="7",BH168,0)</f>
        <v>0</v>
      </c>
      <c r="AE168" s="420">
        <f>IF(AQ168="7",BI168,0)</f>
        <v>0</v>
      </c>
      <c r="AF168" s="420">
        <f>IF(AQ168="2",BH168,0)</f>
        <v>0</v>
      </c>
      <c r="AG168" s="420">
        <f>IF(AQ168="2",BI168,0)</f>
        <v>0</v>
      </c>
      <c r="AH168" s="420">
        <f>IF(AQ168="0",BJ168,0)</f>
        <v>0</v>
      </c>
      <c r="AI168" s="408" t="s">
        <v>654</v>
      </c>
      <c r="AJ168" s="420">
        <f>IF(AN168=0,K168,0)</f>
        <v>0</v>
      </c>
      <c r="AK168" s="420">
        <f>IF(AN168=15,K168,0)</f>
        <v>0</v>
      </c>
      <c r="AL168" s="420">
        <f>IF(AN168=21,K168,0)</f>
        <v>0</v>
      </c>
      <c r="AN168" s="420">
        <v>21</v>
      </c>
      <c r="AO168" s="420">
        <f>H168*0.128564618644068</f>
        <v>0</v>
      </c>
      <c r="AP168" s="420">
        <f>H168*(1-0.128564618644068)</f>
        <v>0</v>
      </c>
      <c r="AQ168" s="422" t="s">
        <v>686</v>
      </c>
      <c r="AV168" s="420">
        <f>AW168+AX168</f>
        <v>0</v>
      </c>
      <c r="AW168" s="420">
        <f>G168*AO168</f>
        <v>0</v>
      </c>
      <c r="AX168" s="420">
        <f>G168*AP168</f>
        <v>0</v>
      </c>
      <c r="AY168" s="422" t="s">
        <v>1212</v>
      </c>
      <c r="AZ168" s="422" t="s">
        <v>1206</v>
      </c>
      <c r="BA168" s="408" t="s">
        <v>662</v>
      </c>
      <c r="BC168" s="420">
        <f>AW168+AX168</f>
        <v>0</v>
      </c>
      <c r="BD168" s="420">
        <f>H168/(100-BE168)*100</f>
        <v>0</v>
      </c>
      <c r="BE168" s="420">
        <v>0</v>
      </c>
      <c r="BF168" s="420">
        <f>M168</f>
        <v>4.6500000000000005E-5</v>
      </c>
      <c r="BH168" s="420">
        <f>G168*AO168</f>
        <v>0</v>
      </c>
      <c r="BI168" s="420">
        <f>G168*AP168</f>
        <v>0</v>
      </c>
      <c r="BJ168" s="420">
        <f>G168*H168</f>
        <v>0</v>
      </c>
      <c r="BK168" s="420"/>
      <c r="BL168" s="420">
        <v>783</v>
      </c>
    </row>
    <row r="169" spans="1:64" ht="15" customHeight="1">
      <c r="A169" s="423"/>
      <c r="D169" s="424" t="s">
        <v>1219</v>
      </c>
      <c r="E169" s="424" t="s">
        <v>654</v>
      </c>
      <c r="G169" s="425">
        <v>4.6500000000000004</v>
      </c>
      <c r="N169" s="426"/>
    </row>
    <row r="170" spans="1:64" ht="15" customHeight="1">
      <c r="A170" s="401" t="s">
        <v>855</v>
      </c>
      <c r="B170" s="402" t="s">
        <v>654</v>
      </c>
      <c r="C170" s="402" t="s">
        <v>1222</v>
      </c>
      <c r="D170" s="440" t="s">
        <v>1223</v>
      </c>
      <c r="E170" s="440"/>
      <c r="F170" s="402" t="s">
        <v>40</v>
      </c>
      <c r="G170" s="420">
        <v>4.6500000000000004</v>
      </c>
      <c r="H170" s="420"/>
      <c r="I170" s="420">
        <f>G170*AO170</f>
        <v>0</v>
      </c>
      <c r="J170" s="420">
        <f>G170*AP170</f>
        <v>0</v>
      </c>
      <c r="K170" s="420">
        <f>G170*H170</f>
        <v>0</v>
      </c>
      <c r="L170" s="420">
        <v>2.2000000000000001E-4</v>
      </c>
      <c r="M170" s="420">
        <f>G170*L170</f>
        <v>1.023E-3</v>
      </c>
      <c r="N170" s="421" t="s">
        <v>1358</v>
      </c>
      <c r="Z170" s="420">
        <f>IF(AQ170="5",BJ170,0)</f>
        <v>0</v>
      </c>
      <c r="AB170" s="420">
        <f>IF(AQ170="1",BH170,0)</f>
        <v>0</v>
      </c>
      <c r="AC170" s="420">
        <f>IF(AQ170="1",BI170,0)</f>
        <v>0</v>
      </c>
      <c r="AD170" s="420">
        <f>IF(AQ170="7",BH170,0)</f>
        <v>0</v>
      </c>
      <c r="AE170" s="420">
        <f>IF(AQ170="7",BI170,0)</f>
        <v>0</v>
      </c>
      <c r="AF170" s="420">
        <f>IF(AQ170="2",BH170,0)</f>
        <v>0</v>
      </c>
      <c r="AG170" s="420">
        <f>IF(AQ170="2",BI170,0)</f>
        <v>0</v>
      </c>
      <c r="AH170" s="420">
        <f>IF(AQ170="0",BJ170,0)</f>
        <v>0</v>
      </c>
      <c r="AI170" s="408" t="s">
        <v>654</v>
      </c>
      <c r="AJ170" s="420">
        <f>IF(AN170=0,K170,0)</f>
        <v>0</v>
      </c>
      <c r="AK170" s="420">
        <f>IF(AN170=15,K170,0)</f>
        <v>0</v>
      </c>
      <c r="AL170" s="420">
        <f>IF(AN170=21,K170,0)</f>
        <v>0</v>
      </c>
      <c r="AN170" s="420">
        <v>21</v>
      </c>
      <c r="AO170" s="420">
        <f>H170*0.480287474332649</f>
        <v>0</v>
      </c>
      <c r="AP170" s="420">
        <f>H170*(1-0.480287474332649)</f>
        <v>0</v>
      </c>
      <c r="AQ170" s="422" t="s">
        <v>686</v>
      </c>
      <c r="AV170" s="420">
        <f>AW170+AX170</f>
        <v>0</v>
      </c>
      <c r="AW170" s="420">
        <f>G170*AO170</f>
        <v>0</v>
      </c>
      <c r="AX170" s="420">
        <f>G170*AP170</f>
        <v>0</v>
      </c>
      <c r="AY170" s="422" t="s">
        <v>1212</v>
      </c>
      <c r="AZ170" s="422" t="s">
        <v>1206</v>
      </c>
      <c r="BA170" s="408" t="s">
        <v>662</v>
      </c>
      <c r="BC170" s="420">
        <f>AW170+AX170</f>
        <v>0</v>
      </c>
      <c r="BD170" s="420">
        <f>H170/(100-BE170)*100</f>
        <v>0</v>
      </c>
      <c r="BE170" s="420">
        <v>0</v>
      </c>
      <c r="BF170" s="420">
        <f>M170</f>
        <v>1.023E-3</v>
      </c>
      <c r="BH170" s="420">
        <f>G170*AO170</f>
        <v>0</v>
      </c>
      <c r="BI170" s="420">
        <f>G170*AP170</f>
        <v>0</v>
      </c>
      <c r="BJ170" s="420">
        <f>G170*H170</f>
        <v>0</v>
      </c>
      <c r="BK170" s="420"/>
      <c r="BL170" s="420">
        <v>783</v>
      </c>
    </row>
    <row r="171" spans="1:64" ht="15" customHeight="1">
      <c r="A171" s="423"/>
      <c r="D171" s="424" t="s">
        <v>1224</v>
      </c>
      <c r="E171" s="424" t="s">
        <v>654</v>
      </c>
      <c r="G171" s="425">
        <v>4.6500000000000004</v>
      </c>
      <c r="N171" s="426"/>
    </row>
    <row r="172" spans="1:64" ht="15" customHeight="1">
      <c r="A172" s="401" t="s">
        <v>905</v>
      </c>
      <c r="B172" s="402" t="s">
        <v>654</v>
      </c>
      <c r="C172" s="402" t="s">
        <v>1225</v>
      </c>
      <c r="D172" s="440" t="s">
        <v>1226</v>
      </c>
      <c r="E172" s="440"/>
      <c r="F172" s="402" t="s">
        <v>40</v>
      </c>
      <c r="G172" s="420">
        <v>4.6500000000000004</v>
      </c>
      <c r="H172" s="420"/>
      <c r="I172" s="420">
        <f>G172*AO172</f>
        <v>0</v>
      </c>
      <c r="J172" s="420">
        <f>G172*AP172</f>
        <v>0</v>
      </c>
      <c r="K172" s="420">
        <f>G172*H172</f>
        <v>0</v>
      </c>
      <c r="L172" s="420">
        <v>1.4999999999999999E-4</v>
      </c>
      <c r="M172" s="420">
        <f>G172*L172</f>
        <v>6.9749999999999999E-4</v>
      </c>
      <c r="N172" s="421" t="s">
        <v>1358</v>
      </c>
      <c r="Z172" s="420">
        <f>IF(AQ172="5",BJ172,0)</f>
        <v>0</v>
      </c>
      <c r="AB172" s="420">
        <f>IF(AQ172="1",BH172,0)</f>
        <v>0</v>
      </c>
      <c r="AC172" s="420">
        <f>IF(AQ172="1",BI172,0)</f>
        <v>0</v>
      </c>
      <c r="AD172" s="420">
        <f>IF(AQ172="7",BH172,0)</f>
        <v>0</v>
      </c>
      <c r="AE172" s="420">
        <f>IF(AQ172="7",BI172,0)</f>
        <v>0</v>
      </c>
      <c r="AF172" s="420">
        <f>IF(AQ172="2",BH172,0)</f>
        <v>0</v>
      </c>
      <c r="AG172" s="420">
        <f>IF(AQ172="2",BI172,0)</f>
        <v>0</v>
      </c>
      <c r="AH172" s="420">
        <f>IF(AQ172="0",BJ172,0)</f>
        <v>0</v>
      </c>
      <c r="AI172" s="408" t="s">
        <v>654</v>
      </c>
      <c r="AJ172" s="420">
        <f>IF(AN172=0,K172,0)</f>
        <v>0</v>
      </c>
      <c r="AK172" s="420">
        <f>IF(AN172=15,K172,0)</f>
        <v>0</v>
      </c>
      <c r="AL172" s="420">
        <f>IF(AN172=21,K172,0)</f>
        <v>0</v>
      </c>
      <c r="AN172" s="420">
        <v>21</v>
      </c>
      <c r="AO172" s="420">
        <f>H172*0.602214093184444</f>
        <v>0</v>
      </c>
      <c r="AP172" s="420">
        <f>H172*(1-0.602214093184444)</f>
        <v>0</v>
      </c>
      <c r="AQ172" s="422" t="s">
        <v>686</v>
      </c>
      <c r="AV172" s="420">
        <f>AW172+AX172</f>
        <v>0</v>
      </c>
      <c r="AW172" s="420">
        <f>G172*AO172</f>
        <v>0</v>
      </c>
      <c r="AX172" s="420">
        <f>G172*AP172</f>
        <v>0</v>
      </c>
      <c r="AY172" s="422" t="s">
        <v>1212</v>
      </c>
      <c r="AZ172" s="422" t="s">
        <v>1206</v>
      </c>
      <c r="BA172" s="408" t="s">
        <v>662</v>
      </c>
      <c r="BC172" s="420">
        <f>AW172+AX172</f>
        <v>0</v>
      </c>
      <c r="BD172" s="420">
        <f>H172/(100-BE172)*100</f>
        <v>0</v>
      </c>
      <c r="BE172" s="420">
        <v>0</v>
      </c>
      <c r="BF172" s="420">
        <f>M172</f>
        <v>6.9749999999999999E-4</v>
      </c>
      <c r="BH172" s="420">
        <f>G172*AO172</f>
        <v>0</v>
      </c>
      <c r="BI172" s="420">
        <f>G172*AP172</f>
        <v>0</v>
      </c>
      <c r="BJ172" s="420">
        <f>G172*H172</f>
        <v>0</v>
      </c>
      <c r="BK172" s="420"/>
      <c r="BL172" s="420">
        <v>783</v>
      </c>
    </row>
    <row r="173" spans="1:64" ht="15" customHeight="1">
      <c r="A173" s="423"/>
      <c r="D173" s="424" t="s">
        <v>1224</v>
      </c>
      <c r="E173" s="424" t="s">
        <v>654</v>
      </c>
      <c r="G173" s="425">
        <v>4.6500000000000004</v>
      </c>
      <c r="N173" s="426"/>
    </row>
    <row r="174" spans="1:64" ht="15" customHeight="1">
      <c r="A174" s="416" t="s">
        <v>654</v>
      </c>
      <c r="B174" s="417" t="s">
        <v>654</v>
      </c>
      <c r="C174" s="417" t="s">
        <v>1227</v>
      </c>
      <c r="D174" s="455" t="s">
        <v>1228</v>
      </c>
      <c r="E174" s="455"/>
      <c r="F174" s="418" t="s">
        <v>608</v>
      </c>
      <c r="G174" s="418" t="s">
        <v>608</v>
      </c>
      <c r="H174" s="418"/>
      <c r="I174" s="400">
        <f>SUM(I175:I179)</f>
        <v>0</v>
      </c>
      <c r="J174" s="400">
        <f>SUM(J175:J179)</f>
        <v>0</v>
      </c>
      <c r="K174" s="400">
        <f>SUM(K175:K179)</f>
        <v>0</v>
      </c>
      <c r="L174" s="408" t="s">
        <v>654</v>
      </c>
      <c r="M174" s="400">
        <f>SUM(M175:M179)</f>
        <v>2.08782E-2</v>
      </c>
      <c r="N174" s="419" t="s">
        <v>654</v>
      </c>
      <c r="AI174" s="408" t="s">
        <v>654</v>
      </c>
      <c r="AS174" s="400">
        <f>SUM(AJ175:AJ179)</f>
        <v>0</v>
      </c>
      <c r="AT174" s="400">
        <f>SUM(AK175:AK179)</f>
        <v>0</v>
      </c>
      <c r="AU174" s="400">
        <f>SUM(AL175:AL179)</f>
        <v>0</v>
      </c>
    </row>
    <row r="175" spans="1:64" ht="15" customHeight="1">
      <c r="A175" s="401" t="s">
        <v>909</v>
      </c>
      <c r="B175" s="402" t="s">
        <v>654</v>
      </c>
      <c r="C175" s="402" t="s">
        <v>1229</v>
      </c>
      <c r="D175" s="440" t="s">
        <v>1230</v>
      </c>
      <c r="E175" s="440"/>
      <c r="F175" s="402" t="s">
        <v>40</v>
      </c>
      <c r="G175" s="420">
        <v>57.994999999999997</v>
      </c>
      <c r="H175" s="420"/>
      <c r="I175" s="420">
        <f>G175*AO175</f>
        <v>0</v>
      </c>
      <c r="J175" s="420">
        <f>G175*AP175</f>
        <v>0</v>
      </c>
      <c r="K175" s="420">
        <f>G175*H175</f>
        <v>0</v>
      </c>
      <c r="L175" s="420">
        <v>1.2999999999999999E-4</v>
      </c>
      <c r="M175" s="420">
        <f>G175*L175</f>
        <v>7.5393499999999994E-3</v>
      </c>
      <c r="N175" s="421" t="s">
        <v>1358</v>
      </c>
      <c r="Z175" s="420">
        <f>IF(AQ175="5",BJ175,0)</f>
        <v>0</v>
      </c>
      <c r="AB175" s="420">
        <f>IF(AQ175="1",BH175,0)</f>
        <v>0</v>
      </c>
      <c r="AC175" s="420">
        <f>IF(AQ175="1",BI175,0)</f>
        <v>0</v>
      </c>
      <c r="AD175" s="420">
        <f>IF(AQ175="7",BH175,0)</f>
        <v>0</v>
      </c>
      <c r="AE175" s="420">
        <f>IF(AQ175="7",BI175,0)</f>
        <v>0</v>
      </c>
      <c r="AF175" s="420">
        <f>IF(AQ175="2",BH175,0)</f>
        <v>0</v>
      </c>
      <c r="AG175" s="420">
        <f>IF(AQ175="2",BI175,0)</f>
        <v>0</v>
      </c>
      <c r="AH175" s="420">
        <f>IF(AQ175="0",BJ175,0)</f>
        <v>0</v>
      </c>
      <c r="AI175" s="408" t="s">
        <v>654</v>
      </c>
      <c r="AJ175" s="420">
        <f>IF(AN175=0,K175,0)</f>
        <v>0</v>
      </c>
      <c r="AK175" s="420">
        <f>IF(AN175=15,K175,0)</f>
        <v>0</v>
      </c>
      <c r="AL175" s="420">
        <f>IF(AN175=21,K175,0)</f>
        <v>0</v>
      </c>
      <c r="AN175" s="420">
        <v>21</v>
      </c>
      <c r="AO175" s="420">
        <f>H175*0.431190786409705</f>
        <v>0</v>
      </c>
      <c r="AP175" s="420">
        <f>H175*(1-0.431190786409705)</f>
        <v>0</v>
      </c>
      <c r="AQ175" s="422" t="s">
        <v>686</v>
      </c>
      <c r="AV175" s="420">
        <f>AW175+AX175</f>
        <v>0</v>
      </c>
      <c r="AW175" s="420">
        <f>G175*AO175</f>
        <v>0</v>
      </c>
      <c r="AX175" s="420">
        <f>G175*AP175</f>
        <v>0</v>
      </c>
      <c r="AY175" s="422" t="s">
        <v>1231</v>
      </c>
      <c r="AZ175" s="422" t="s">
        <v>1206</v>
      </c>
      <c r="BA175" s="408" t="s">
        <v>662</v>
      </c>
      <c r="BC175" s="420">
        <f>AW175+AX175</f>
        <v>0</v>
      </c>
      <c r="BD175" s="420">
        <f>H175/(100-BE175)*100</f>
        <v>0</v>
      </c>
      <c r="BE175" s="420">
        <v>0</v>
      </c>
      <c r="BF175" s="420">
        <f>M175</f>
        <v>7.5393499999999994E-3</v>
      </c>
      <c r="BH175" s="420">
        <f>G175*AO175</f>
        <v>0</v>
      </c>
      <c r="BI175" s="420">
        <f>G175*AP175</f>
        <v>0</v>
      </c>
      <c r="BJ175" s="420">
        <f>G175*H175</f>
        <v>0</v>
      </c>
      <c r="BK175" s="420"/>
      <c r="BL175" s="420">
        <v>784</v>
      </c>
    </row>
    <row r="176" spans="1:64" ht="15" customHeight="1">
      <c r="A176" s="423"/>
      <c r="D176" s="424" t="s">
        <v>1232</v>
      </c>
      <c r="E176" s="424" t="s">
        <v>654</v>
      </c>
      <c r="G176" s="425">
        <v>29.595000000000002</v>
      </c>
      <c r="N176" s="426"/>
    </row>
    <row r="177" spans="1:64" ht="15" customHeight="1">
      <c r="A177" s="423"/>
      <c r="D177" s="424" t="s">
        <v>1233</v>
      </c>
      <c r="E177" s="424" t="s">
        <v>654</v>
      </c>
      <c r="G177" s="425">
        <v>28.400000000000002</v>
      </c>
      <c r="N177" s="426"/>
    </row>
    <row r="178" spans="1:64" ht="15" customHeight="1">
      <c r="A178" s="423"/>
      <c r="D178" s="424" t="s">
        <v>1234</v>
      </c>
      <c r="E178" s="424" t="s">
        <v>654</v>
      </c>
      <c r="G178" s="425">
        <v>0</v>
      </c>
      <c r="N178" s="426"/>
    </row>
    <row r="179" spans="1:64" ht="15" customHeight="1">
      <c r="A179" s="401" t="s">
        <v>916</v>
      </c>
      <c r="B179" s="402" t="s">
        <v>654</v>
      </c>
      <c r="C179" s="402" t="s">
        <v>1235</v>
      </c>
      <c r="D179" s="440" t="s">
        <v>1236</v>
      </c>
      <c r="E179" s="440"/>
      <c r="F179" s="402" t="s">
        <v>40</v>
      </c>
      <c r="G179" s="420">
        <v>57.994999999999997</v>
      </c>
      <c r="H179" s="420"/>
      <c r="I179" s="420">
        <f>G179*AO179</f>
        <v>0</v>
      </c>
      <c r="J179" s="420">
        <f>G179*AP179</f>
        <v>0</v>
      </c>
      <c r="K179" s="420">
        <f>G179*H179</f>
        <v>0</v>
      </c>
      <c r="L179" s="420">
        <v>2.3000000000000001E-4</v>
      </c>
      <c r="M179" s="420">
        <f>G179*L179</f>
        <v>1.3338849999999999E-2</v>
      </c>
      <c r="N179" s="421" t="s">
        <v>1358</v>
      </c>
      <c r="Z179" s="420">
        <f>IF(AQ179="5",BJ179,0)</f>
        <v>0</v>
      </c>
      <c r="AB179" s="420">
        <f>IF(AQ179="1",BH179,0)</f>
        <v>0</v>
      </c>
      <c r="AC179" s="420">
        <f>IF(AQ179="1",BI179,0)</f>
        <v>0</v>
      </c>
      <c r="AD179" s="420">
        <f>IF(AQ179="7",BH179,0)</f>
        <v>0</v>
      </c>
      <c r="AE179" s="420">
        <f>IF(AQ179="7",BI179,0)</f>
        <v>0</v>
      </c>
      <c r="AF179" s="420">
        <f>IF(AQ179="2",BH179,0)</f>
        <v>0</v>
      </c>
      <c r="AG179" s="420">
        <f>IF(AQ179="2",BI179,0)</f>
        <v>0</v>
      </c>
      <c r="AH179" s="420">
        <f>IF(AQ179="0",BJ179,0)</f>
        <v>0</v>
      </c>
      <c r="AI179" s="408" t="s">
        <v>654</v>
      </c>
      <c r="AJ179" s="420">
        <f>IF(AN179=0,K179,0)</f>
        <v>0</v>
      </c>
      <c r="AK179" s="420">
        <f>IF(AN179=15,K179,0)</f>
        <v>0</v>
      </c>
      <c r="AL179" s="420">
        <f>IF(AN179=21,K179,0)</f>
        <v>0</v>
      </c>
      <c r="AN179" s="420">
        <v>21</v>
      </c>
      <c r="AO179" s="420">
        <f>H179*0.304046293281594</f>
        <v>0</v>
      </c>
      <c r="AP179" s="420">
        <f>H179*(1-0.304046293281594)</f>
        <v>0</v>
      </c>
      <c r="AQ179" s="422" t="s">
        <v>686</v>
      </c>
      <c r="AV179" s="420">
        <f>AW179+AX179</f>
        <v>0</v>
      </c>
      <c r="AW179" s="420">
        <f>G179*AO179</f>
        <v>0</v>
      </c>
      <c r="AX179" s="420">
        <f>G179*AP179</f>
        <v>0</v>
      </c>
      <c r="AY179" s="422" t="s">
        <v>1231</v>
      </c>
      <c r="AZ179" s="422" t="s">
        <v>1206</v>
      </c>
      <c r="BA179" s="408" t="s">
        <v>662</v>
      </c>
      <c r="BC179" s="420">
        <f>AW179+AX179</f>
        <v>0</v>
      </c>
      <c r="BD179" s="420">
        <f>H179/(100-BE179)*100</f>
        <v>0</v>
      </c>
      <c r="BE179" s="420">
        <v>0</v>
      </c>
      <c r="BF179" s="420">
        <f>M179</f>
        <v>1.3338849999999999E-2</v>
      </c>
      <c r="BH179" s="420">
        <f>G179*AO179</f>
        <v>0</v>
      </c>
      <c r="BI179" s="420">
        <f>G179*AP179</f>
        <v>0</v>
      </c>
      <c r="BJ179" s="420">
        <f>G179*H179</f>
        <v>0</v>
      </c>
      <c r="BK179" s="420"/>
      <c r="BL179" s="420">
        <v>784</v>
      </c>
    </row>
    <row r="180" spans="1:64" ht="15" customHeight="1">
      <c r="A180" s="423"/>
      <c r="D180" s="424" t="s">
        <v>1237</v>
      </c>
      <c r="E180" s="424" t="s">
        <v>654</v>
      </c>
      <c r="G180" s="425">
        <v>57.995000000000005</v>
      </c>
      <c r="N180" s="426"/>
    </row>
    <row r="181" spans="1:64" ht="15" customHeight="1">
      <c r="A181" s="416" t="s">
        <v>654</v>
      </c>
      <c r="B181" s="417" t="s">
        <v>654</v>
      </c>
      <c r="C181" s="417" t="s">
        <v>885</v>
      </c>
      <c r="D181" s="455" t="s">
        <v>886</v>
      </c>
      <c r="E181" s="455"/>
      <c r="F181" s="418" t="s">
        <v>608</v>
      </c>
      <c r="G181" s="418" t="s">
        <v>608</v>
      </c>
      <c r="H181" s="418"/>
      <c r="I181" s="400">
        <f>SUM(I182:I215)</f>
        <v>0</v>
      </c>
      <c r="J181" s="400">
        <f>SUM(J182:J215)</f>
        <v>0</v>
      </c>
      <c r="K181" s="400">
        <f>SUM(K182:K215)</f>
        <v>0</v>
      </c>
      <c r="L181" s="408" t="s">
        <v>654</v>
      </c>
      <c r="M181" s="400">
        <f>SUM(M182:M215)</f>
        <v>0</v>
      </c>
      <c r="N181" s="419" t="s">
        <v>654</v>
      </c>
      <c r="AI181" s="408" t="s">
        <v>654</v>
      </c>
      <c r="AS181" s="400">
        <f>SUM(AJ182:AJ215)</f>
        <v>0</v>
      </c>
      <c r="AT181" s="400">
        <f>SUM(AK182:AK215)</f>
        <v>0</v>
      </c>
      <c r="AU181" s="400">
        <f>SUM(AL182:AL215)</f>
        <v>0</v>
      </c>
    </row>
    <row r="182" spans="1:64" ht="15" customHeight="1">
      <c r="A182" s="401" t="s">
        <v>919</v>
      </c>
      <c r="B182" s="402" t="s">
        <v>654</v>
      </c>
      <c r="C182" s="402" t="s">
        <v>910</v>
      </c>
      <c r="D182" s="440" t="s">
        <v>911</v>
      </c>
      <c r="E182" s="440"/>
      <c r="F182" s="402" t="s">
        <v>14</v>
      </c>
      <c r="G182" s="420">
        <v>7</v>
      </c>
      <c r="H182" s="420"/>
      <c r="I182" s="420">
        <f>G182*AO182</f>
        <v>0</v>
      </c>
      <c r="J182" s="420">
        <f>G182*AP182</f>
        <v>0</v>
      </c>
      <c r="K182" s="420">
        <f>G182*H182</f>
        <v>0</v>
      </c>
      <c r="L182" s="420">
        <v>0</v>
      </c>
      <c r="M182" s="420">
        <f>G182*L182</f>
        <v>0</v>
      </c>
      <c r="N182" s="421" t="s">
        <v>1358</v>
      </c>
      <c r="Z182" s="420">
        <f>IF(AQ182="5",BJ182,0)</f>
        <v>0</v>
      </c>
      <c r="AB182" s="420">
        <f>IF(AQ182="1",BH182,0)</f>
        <v>0</v>
      </c>
      <c r="AC182" s="420">
        <f>IF(AQ182="1",BI182,0)</f>
        <v>0</v>
      </c>
      <c r="AD182" s="420">
        <f>IF(AQ182="7",BH182,0)</f>
        <v>0</v>
      </c>
      <c r="AE182" s="420">
        <f>IF(AQ182="7",BI182,0)</f>
        <v>0</v>
      </c>
      <c r="AF182" s="420">
        <f>IF(AQ182="2",BH182,0)</f>
        <v>0</v>
      </c>
      <c r="AG182" s="420">
        <f>IF(AQ182="2",BI182,0)</f>
        <v>0</v>
      </c>
      <c r="AH182" s="420">
        <f>IF(AQ182="0",BJ182,0)</f>
        <v>0</v>
      </c>
      <c r="AI182" s="408" t="s">
        <v>654</v>
      </c>
      <c r="AJ182" s="420">
        <f>IF(AN182=0,K182,0)</f>
        <v>0</v>
      </c>
      <c r="AK182" s="420">
        <f>IF(AN182=15,K182,0)</f>
        <v>0</v>
      </c>
      <c r="AL182" s="420">
        <f>IF(AN182=21,K182,0)</f>
        <v>0</v>
      </c>
      <c r="AN182" s="420">
        <v>21</v>
      </c>
      <c r="AO182" s="420">
        <f>H182*0.000031496062992126</f>
        <v>0</v>
      </c>
      <c r="AP182" s="420">
        <f>H182*(1-0.000031496062992126)</f>
        <v>0</v>
      </c>
      <c r="AQ182" s="422" t="s">
        <v>657</v>
      </c>
      <c r="AV182" s="420">
        <f>AW182+AX182</f>
        <v>0</v>
      </c>
      <c r="AW182" s="420">
        <f>G182*AO182</f>
        <v>0</v>
      </c>
      <c r="AX182" s="420">
        <f>G182*AP182</f>
        <v>0</v>
      </c>
      <c r="AY182" s="422" t="s">
        <v>890</v>
      </c>
      <c r="AZ182" s="422" t="s">
        <v>891</v>
      </c>
      <c r="BA182" s="408" t="s">
        <v>662</v>
      </c>
      <c r="BC182" s="420">
        <f>AW182+AX182</f>
        <v>0</v>
      </c>
      <c r="BD182" s="420">
        <f>H182/(100-BE182)*100</f>
        <v>0</v>
      </c>
      <c r="BE182" s="420">
        <v>0</v>
      </c>
      <c r="BF182" s="420">
        <f>M182</f>
        <v>0</v>
      </c>
      <c r="BH182" s="420">
        <f>G182*AO182</f>
        <v>0</v>
      </c>
      <c r="BI182" s="420">
        <f>G182*AP182</f>
        <v>0</v>
      </c>
      <c r="BJ182" s="420">
        <f>G182*H182</f>
        <v>0</v>
      </c>
      <c r="BK182" s="420"/>
      <c r="BL182" s="420">
        <v>85</v>
      </c>
    </row>
    <row r="183" spans="1:64" ht="15" customHeight="1">
      <c r="A183" s="423"/>
      <c r="D183" s="424" t="s">
        <v>1238</v>
      </c>
      <c r="E183" s="424" t="s">
        <v>654</v>
      </c>
      <c r="G183" s="425">
        <v>2</v>
      </c>
      <c r="N183" s="426"/>
    </row>
    <row r="184" spans="1:64" ht="15" customHeight="1">
      <c r="A184" s="423"/>
      <c r="D184" s="424" t="s">
        <v>1239</v>
      </c>
      <c r="E184" s="424" t="s">
        <v>654</v>
      </c>
      <c r="G184" s="425">
        <v>2</v>
      </c>
      <c r="N184" s="426"/>
    </row>
    <row r="185" spans="1:64" ht="15" customHeight="1">
      <c r="A185" s="423"/>
      <c r="D185" s="424" t="s">
        <v>1240</v>
      </c>
      <c r="E185" s="424" t="s">
        <v>654</v>
      </c>
      <c r="G185" s="425">
        <v>2</v>
      </c>
      <c r="N185" s="426"/>
    </row>
    <row r="186" spans="1:64" ht="15" customHeight="1">
      <c r="A186" s="423"/>
      <c r="D186" s="424" t="s">
        <v>1241</v>
      </c>
      <c r="E186" s="424" t="s">
        <v>654</v>
      </c>
      <c r="G186" s="425">
        <v>1</v>
      </c>
      <c r="N186" s="426"/>
    </row>
    <row r="187" spans="1:64" ht="15" customHeight="1">
      <c r="A187" s="401" t="s">
        <v>922</v>
      </c>
      <c r="B187" s="402" t="s">
        <v>654</v>
      </c>
      <c r="C187" s="402" t="s">
        <v>1242</v>
      </c>
      <c r="D187" s="440" t="s">
        <v>1243</v>
      </c>
      <c r="E187" s="440"/>
      <c r="F187" s="402" t="s">
        <v>14</v>
      </c>
      <c r="G187" s="420">
        <v>2</v>
      </c>
      <c r="H187" s="420"/>
      <c r="I187" s="420">
        <f>G187*AO187</f>
        <v>0</v>
      </c>
      <c r="J187" s="420">
        <f>G187*AP187</f>
        <v>0</v>
      </c>
      <c r="K187" s="420">
        <f>G187*H187</f>
        <v>0</v>
      </c>
      <c r="L187" s="420">
        <v>0</v>
      </c>
      <c r="M187" s="420">
        <f>G187*L187</f>
        <v>0</v>
      </c>
      <c r="N187" s="421" t="s">
        <v>654</v>
      </c>
      <c r="Z187" s="420">
        <f>IF(AQ187="5",BJ187,0)</f>
        <v>0</v>
      </c>
      <c r="AB187" s="420">
        <f>IF(AQ187="1",BH187,0)</f>
        <v>0</v>
      </c>
      <c r="AC187" s="420">
        <f>IF(AQ187="1",BI187,0)</f>
        <v>0</v>
      </c>
      <c r="AD187" s="420">
        <f>IF(AQ187="7",BH187,0)</f>
        <v>0</v>
      </c>
      <c r="AE187" s="420">
        <f>IF(AQ187="7",BI187,0)</f>
        <v>0</v>
      </c>
      <c r="AF187" s="420">
        <f>IF(AQ187="2",BH187,0)</f>
        <v>0</v>
      </c>
      <c r="AG187" s="420">
        <f>IF(AQ187="2",BI187,0)</f>
        <v>0</v>
      </c>
      <c r="AH187" s="420">
        <f>IF(AQ187="0",BJ187,0)</f>
        <v>0</v>
      </c>
      <c r="AI187" s="408" t="s">
        <v>654</v>
      </c>
      <c r="AJ187" s="420">
        <f>IF(AN187=0,K187,0)</f>
        <v>0</v>
      </c>
      <c r="AK187" s="420">
        <f>IF(AN187=15,K187,0)</f>
        <v>0</v>
      </c>
      <c r="AL187" s="420">
        <f>IF(AN187=21,K187,0)</f>
        <v>0</v>
      </c>
      <c r="AN187" s="420">
        <v>21</v>
      </c>
      <c r="AO187" s="420">
        <f>H187*1</f>
        <v>0</v>
      </c>
      <c r="AP187" s="420">
        <f>H187*(1-1)</f>
        <v>0</v>
      </c>
      <c r="AQ187" s="422" t="s">
        <v>657</v>
      </c>
      <c r="AV187" s="420">
        <f>AW187+AX187</f>
        <v>0</v>
      </c>
      <c r="AW187" s="420">
        <f>G187*AO187</f>
        <v>0</v>
      </c>
      <c r="AX187" s="420">
        <f>G187*AP187</f>
        <v>0</v>
      </c>
      <c r="AY187" s="422" t="s">
        <v>890</v>
      </c>
      <c r="AZ187" s="422" t="s">
        <v>891</v>
      </c>
      <c r="BA187" s="408" t="s">
        <v>662</v>
      </c>
      <c r="BC187" s="420">
        <f>AW187+AX187</f>
        <v>0</v>
      </c>
      <c r="BD187" s="420">
        <f>H187/(100-BE187)*100</f>
        <v>0</v>
      </c>
      <c r="BE187" s="420">
        <v>0</v>
      </c>
      <c r="BF187" s="420">
        <f>M187</f>
        <v>0</v>
      </c>
      <c r="BH187" s="420">
        <f>G187*AO187</f>
        <v>0</v>
      </c>
      <c r="BI187" s="420">
        <f>G187*AP187</f>
        <v>0</v>
      </c>
      <c r="BJ187" s="420">
        <f>G187*H187</f>
        <v>0</v>
      </c>
      <c r="BK187" s="420"/>
      <c r="BL187" s="420">
        <v>85</v>
      </c>
    </row>
    <row r="188" spans="1:64" ht="15" customHeight="1">
      <c r="A188" s="401" t="s">
        <v>926</v>
      </c>
      <c r="B188" s="402" t="s">
        <v>654</v>
      </c>
      <c r="C188" s="402" t="s">
        <v>1244</v>
      </c>
      <c r="D188" s="440" t="s">
        <v>1245</v>
      </c>
      <c r="E188" s="440"/>
      <c r="F188" s="402" t="s">
        <v>14</v>
      </c>
      <c r="G188" s="420">
        <v>2</v>
      </c>
      <c r="H188" s="420"/>
      <c r="I188" s="420">
        <f>G188*AO188</f>
        <v>0</v>
      </c>
      <c r="J188" s="420">
        <f>G188*AP188</f>
        <v>0</v>
      </c>
      <c r="K188" s="420">
        <f>G188*H188</f>
        <v>0</v>
      </c>
      <c r="L188" s="420">
        <v>0</v>
      </c>
      <c r="M188" s="420">
        <f>G188*L188</f>
        <v>0</v>
      </c>
      <c r="N188" s="421" t="s">
        <v>654</v>
      </c>
      <c r="Z188" s="420">
        <f>IF(AQ188="5",BJ188,0)</f>
        <v>0</v>
      </c>
      <c r="AB188" s="420">
        <f>IF(AQ188="1",BH188,0)</f>
        <v>0</v>
      </c>
      <c r="AC188" s="420">
        <f>IF(AQ188="1",BI188,0)</f>
        <v>0</v>
      </c>
      <c r="AD188" s="420">
        <f>IF(AQ188="7",BH188,0)</f>
        <v>0</v>
      </c>
      <c r="AE188" s="420">
        <f>IF(AQ188="7",BI188,0)</f>
        <v>0</v>
      </c>
      <c r="AF188" s="420">
        <f>IF(AQ188="2",BH188,0)</f>
        <v>0</v>
      </c>
      <c r="AG188" s="420">
        <f>IF(AQ188="2",BI188,0)</f>
        <v>0</v>
      </c>
      <c r="AH188" s="420">
        <f>IF(AQ188="0",BJ188,0)</f>
        <v>0</v>
      </c>
      <c r="AI188" s="408" t="s">
        <v>654</v>
      </c>
      <c r="AJ188" s="420">
        <f>IF(AN188=0,K188,0)</f>
        <v>0</v>
      </c>
      <c r="AK188" s="420">
        <f>IF(AN188=15,K188,0)</f>
        <v>0</v>
      </c>
      <c r="AL188" s="420">
        <f>IF(AN188=21,K188,0)</f>
        <v>0</v>
      </c>
      <c r="AN188" s="420">
        <v>21</v>
      </c>
      <c r="AO188" s="420">
        <f>H188*1</f>
        <v>0</v>
      </c>
      <c r="AP188" s="420">
        <f>H188*(1-1)</f>
        <v>0</v>
      </c>
      <c r="AQ188" s="422" t="s">
        <v>657</v>
      </c>
      <c r="AV188" s="420">
        <f>AW188+AX188</f>
        <v>0</v>
      </c>
      <c r="AW188" s="420">
        <f>G188*AO188</f>
        <v>0</v>
      </c>
      <c r="AX188" s="420">
        <f>G188*AP188</f>
        <v>0</v>
      </c>
      <c r="AY188" s="422" t="s">
        <v>890</v>
      </c>
      <c r="AZ188" s="422" t="s">
        <v>891</v>
      </c>
      <c r="BA188" s="408" t="s">
        <v>662</v>
      </c>
      <c r="BC188" s="420">
        <f>AW188+AX188</f>
        <v>0</v>
      </c>
      <c r="BD188" s="420">
        <f>H188/(100-BE188)*100</f>
        <v>0</v>
      </c>
      <c r="BE188" s="420">
        <v>0</v>
      </c>
      <c r="BF188" s="420">
        <f>M188</f>
        <v>0</v>
      </c>
      <c r="BH188" s="420">
        <f>G188*AO188</f>
        <v>0</v>
      </c>
      <c r="BI188" s="420">
        <f>G188*AP188</f>
        <v>0</v>
      </c>
      <c r="BJ188" s="420">
        <f>G188*H188</f>
        <v>0</v>
      </c>
      <c r="BK188" s="420"/>
      <c r="BL188" s="420">
        <v>85</v>
      </c>
    </row>
    <row r="189" spans="1:64" ht="15" customHeight="1">
      <c r="A189" s="401" t="s">
        <v>929</v>
      </c>
      <c r="B189" s="402" t="s">
        <v>654</v>
      </c>
      <c r="C189" s="402" t="s">
        <v>1246</v>
      </c>
      <c r="D189" s="440" t="s">
        <v>1247</v>
      </c>
      <c r="E189" s="440"/>
      <c r="F189" s="402" t="s">
        <v>14</v>
      </c>
      <c r="G189" s="420">
        <v>2</v>
      </c>
      <c r="H189" s="420"/>
      <c r="I189" s="420">
        <f>G189*AO189</f>
        <v>0</v>
      </c>
      <c r="J189" s="420">
        <f>G189*AP189</f>
        <v>0</v>
      </c>
      <c r="K189" s="420">
        <f>G189*H189</f>
        <v>0</v>
      </c>
      <c r="L189" s="420">
        <v>0</v>
      </c>
      <c r="M189" s="420">
        <f>G189*L189</f>
        <v>0</v>
      </c>
      <c r="N189" s="421" t="s">
        <v>654</v>
      </c>
      <c r="Z189" s="420">
        <f>IF(AQ189="5",BJ189,0)</f>
        <v>0</v>
      </c>
      <c r="AB189" s="420">
        <f>IF(AQ189="1",BH189,0)</f>
        <v>0</v>
      </c>
      <c r="AC189" s="420">
        <f>IF(AQ189="1",BI189,0)</f>
        <v>0</v>
      </c>
      <c r="AD189" s="420">
        <f>IF(AQ189="7",BH189,0)</f>
        <v>0</v>
      </c>
      <c r="AE189" s="420">
        <f>IF(AQ189="7",BI189,0)</f>
        <v>0</v>
      </c>
      <c r="AF189" s="420">
        <f>IF(AQ189="2",BH189,0)</f>
        <v>0</v>
      </c>
      <c r="AG189" s="420">
        <f>IF(AQ189="2",BI189,0)</f>
        <v>0</v>
      </c>
      <c r="AH189" s="420">
        <f>IF(AQ189="0",BJ189,0)</f>
        <v>0</v>
      </c>
      <c r="AI189" s="408" t="s">
        <v>654</v>
      </c>
      <c r="AJ189" s="420">
        <f>IF(AN189=0,K189,0)</f>
        <v>0</v>
      </c>
      <c r="AK189" s="420">
        <f>IF(AN189=15,K189,0)</f>
        <v>0</v>
      </c>
      <c r="AL189" s="420">
        <f>IF(AN189=21,K189,0)</f>
        <v>0</v>
      </c>
      <c r="AN189" s="420">
        <v>21</v>
      </c>
      <c r="AO189" s="420">
        <f>H189*1</f>
        <v>0</v>
      </c>
      <c r="AP189" s="420">
        <f>H189*(1-1)</f>
        <v>0</v>
      </c>
      <c r="AQ189" s="422" t="s">
        <v>657</v>
      </c>
      <c r="AV189" s="420">
        <f>AW189+AX189</f>
        <v>0</v>
      </c>
      <c r="AW189" s="420">
        <f>G189*AO189</f>
        <v>0</v>
      </c>
      <c r="AX189" s="420">
        <f>G189*AP189</f>
        <v>0</v>
      </c>
      <c r="AY189" s="422" t="s">
        <v>890</v>
      </c>
      <c r="AZ189" s="422" t="s">
        <v>891</v>
      </c>
      <c r="BA189" s="408" t="s">
        <v>662</v>
      </c>
      <c r="BC189" s="420">
        <f>AW189+AX189</f>
        <v>0</v>
      </c>
      <c r="BD189" s="420">
        <f>H189/(100-BE189)*100</f>
        <v>0</v>
      </c>
      <c r="BE189" s="420">
        <v>0</v>
      </c>
      <c r="BF189" s="420">
        <f>M189</f>
        <v>0</v>
      </c>
      <c r="BH189" s="420">
        <f>G189*AO189</f>
        <v>0</v>
      </c>
      <c r="BI189" s="420">
        <f>G189*AP189</f>
        <v>0</v>
      </c>
      <c r="BJ189" s="420">
        <f>G189*H189</f>
        <v>0</v>
      </c>
      <c r="BK189" s="420"/>
      <c r="BL189" s="420">
        <v>85</v>
      </c>
    </row>
    <row r="190" spans="1:64" ht="15" customHeight="1">
      <c r="A190" s="401" t="s">
        <v>932</v>
      </c>
      <c r="B190" s="402" t="s">
        <v>654</v>
      </c>
      <c r="C190" s="402" t="s">
        <v>1248</v>
      </c>
      <c r="D190" s="440" t="s">
        <v>1249</v>
      </c>
      <c r="E190" s="440"/>
      <c r="F190" s="402" t="s">
        <v>14</v>
      </c>
      <c r="G190" s="420">
        <v>1</v>
      </c>
      <c r="H190" s="420"/>
      <c r="I190" s="420">
        <f>G190*AO190</f>
        <v>0</v>
      </c>
      <c r="J190" s="420">
        <f>G190*AP190</f>
        <v>0</v>
      </c>
      <c r="K190" s="420">
        <f>G190*H190</f>
        <v>0</v>
      </c>
      <c r="L190" s="420">
        <v>0</v>
      </c>
      <c r="M190" s="420">
        <f>G190*L190</f>
        <v>0</v>
      </c>
      <c r="N190" s="421" t="s">
        <v>654</v>
      </c>
      <c r="Z190" s="420">
        <f>IF(AQ190="5",BJ190,0)</f>
        <v>0</v>
      </c>
      <c r="AB190" s="420">
        <f>IF(AQ190="1",BH190,0)</f>
        <v>0</v>
      </c>
      <c r="AC190" s="420">
        <f>IF(AQ190="1",BI190,0)</f>
        <v>0</v>
      </c>
      <c r="AD190" s="420">
        <f>IF(AQ190="7",BH190,0)</f>
        <v>0</v>
      </c>
      <c r="AE190" s="420">
        <f>IF(AQ190="7",BI190,0)</f>
        <v>0</v>
      </c>
      <c r="AF190" s="420">
        <f>IF(AQ190="2",BH190,0)</f>
        <v>0</v>
      </c>
      <c r="AG190" s="420">
        <f>IF(AQ190="2",BI190,0)</f>
        <v>0</v>
      </c>
      <c r="AH190" s="420">
        <f>IF(AQ190="0",BJ190,0)</f>
        <v>0</v>
      </c>
      <c r="AI190" s="408" t="s">
        <v>654</v>
      </c>
      <c r="AJ190" s="420">
        <f>IF(AN190=0,K190,0)</f>
        <v>0</v>
      </c>
      <c r="AK190" s="420">
        <f>IF(AN190=15,K190,0)</f>
        <v>0</v>
      </c>
      <c r="AL190" s="420">
        <f>IF(AN190=21,K190,0)</f>
        <v>0</v>
      </c>
      <c r="AN190" s="420">
        <v>21</v>
      </c>
      <c r="AO190" s="420">
        <f>H190*1</f>
        <v>0</v>
      </c>
      <c r="AP190" s="420">
        <f>H190*(1-1)</f>
        <v>0</v>
      </c>
      <c r="AQ190" s="422" t="s">
        <v>657</v>
      </c>
      <c r="AV190" s="420">
        <f>AW190+AX190</f>
        <v>0</v>
      </c>
      <c r="AW190" s="420">
        <f>G190*AO190</f>
        <v>0</v>
      </c>
      <c r="AX190" s="420">
        <f>G190*AP190</f>
        <v>0</v>
      </c>
      <c r="AY190" s="422" t="s">
        <v>890</v>
      </c>
      <c r="AZ190" s="422" t="s">
        <v>891</v>
      </c>
      <c r="BA190" s="408" t="s">
        <v>662</v>
      </c>
      <c r="BC190" s="420">
        <f>AW190+AX190</f>
        <v>0</v>
      </c>
      <c r="BD190" s="420">
        <f>H190/(100-BE190)*100</f>
        <v>0</v>
      </c>
      <c r="BE190" s="420">
        <v>0</v>
      </c>
      <c r="BF190" s="420">
        <f>M190</f>
        <v>0</v>
      </c>
      <c r="BH190" s="420">
        <f>G190*AO190</f>
        <v>0</v>
      </c>
      <c r="BI190" s="420">
        <f>G190*AP190</f>
        <v>0</v>
      </c>
      <c r="BJ190" s="420">
        <f>G190*H190</f>
        <v>0</v>
      </c>
      <c r="BK190" s="420"/>
      <c r="BL190" s="420">
        <v>85</v>
      </c>
    </row>
    <row r="191" spans="1:64" ht="15" customHeight="1">
      <c r="A191" s="401" t="s">
        <v>935</v>
      </c>
      <c r="B191" s="402" t="s">
        <v>654</v>
      </c>
      <c r="C191" s="402" t="s">
        <v>1250</v>
      </c>
      <c r="D191" s="440" t="s">
        <v>1251</v>
      </c>
      <c r="E191" s="440"/>
      <c r="F191" s="402" t="s">
        <v>14</v>
      </c>
      <c r="G191" s="420">
        <v>22</v>
      </c>
      <c r="H191" s="420"/>
      <c r="I191" s="420">
        <f>G191*AO191</f>
        <v>0</v>
      </c>
      <c r="J191" s="420">
        <f>G191*AP191</f>
        <v>0</v>
      </c>
      <c r="K191" s="420">
        <f>G191*H191</f>
        <v>0</v>
      </c>
      <c r="L191" s="420">
        <v>0</v>
      </c>
      <c r="M191" s="420">
        <f>G191*L191</f>
        <v>0</v>
      </c>
      <c r="N191" s="421" t="s">
        <v>1358</v>
      </c>
      <c r="Z191" s="420">
        <f>IF(AQ191="5",BJ191,0)</f>
        <v>0</v>
      </c>
      <c r="AB191" s="420">
        <f>IF(AQ191="1",BH191,0)</f>
        <v>0</v>
      </c>
      <c r="AC191" s="420">
        <f>IF(AQ191="1",BI191,0)</f>
        <v>0</v>
      </c>
      <c r="AD191" s="420">
        <f>IF(AQ191="7",BH191,0)</f>
        <v>0</v>
      </c>
      <c r="AE191" s="420">
        <f>IF(AQ191="7",BI191,0)</f>
        <v>0</v>
      </c>
      <c r="AF191" s="420">
        <f>IF(AQ191="2",BH191,0)</f>
        <v>0</v>
      </c>
      <c r="AG191" s="420">
        <f>IF(AQ191="2",BI191,0)</f>
        <v>0</v>
      </c>
      <c r="AH191" s="420">
        <f>IF(AQ191="0",BJ191,0)</f>
        <v>0</v>
      </c>
      <c r="AI191" s="408" t="s">
        <v>654</v>
      </c>
      <c r="AJ191" s="420">
        <f>IF(AN191=0,K191,0)</f>
        <v>0</v>
      </c>
      <c r="AK191" s="420">
        <f>IF(AN191=15,K191,0)</f>
        <v>0</v>
      </c>
      <c r="AL191" s="420">
        <f>IF(AN191=21,K191,0)</f>
        <v>0</v>
      </c>
      <c r="AN191" s="420">
        <v>21</v>
      </c>
      <c r="AO191" s="420">
        <f>H191*0.00002</f>
        <v>0</v>
      </c>
      <c r="AP191" s="420">
        <f>H191*(1-0.00002)</f>
        <v>0</v>
      </c>
      <c r="AQ191" s="422" t="s">
        <v>657</v>
      </c>
      <c r="AV191" s="420">
        <f>AW191+AX191</f>
        <v>0</v>
      </c>
      <c r="AW191" s="420">
        <f>G191*AO191</f>
        <v>0</v>
      </c>
      <c r="AX191" s="420">
        <f>G191*AP191</f>
        <v>0</v>
      </c>
      <c r="AY191" s="422" t="s">
        <v>890</v>
      </c>
      <c r="AZ191" s="422" t="s">
        <v>891</v>
      </c>
      <c r="BA191" s="408" t="s">
        <v>662</v>
      </c>
      <c r="BC191" s="420">
        <f>AW191+AX191</f>
        <v>0</v>
      </c>
      <c r="BD191" s="420">
        <f>H191/(100-BE191)*100</f>
        <v>0</v>
      </c>
      <c r="BE191" s="420">
        <v>0</v>
      </c>
      <c r="BF191" s="420">
        <f>M191</f>
        <v>0</v>
      </c>
      <c r="BH191" s="420">
        <f>G191*AO191</f>
        <v>0</v>
      </c>
      <c r="BI191" s="420">
        <f>G191*AP191</f>
        <v>0</v>
      </c>
      <c r="BJ191" s="420">
        <f>G191*H191</f>
        <v>0</v>
      </c>
      <c r="BK191" s="420"/>
      <c r="BL191" s="420">
        <v>85</v>
      </c>
    </row>
    <row r="192" spans="1:64" ht="15" customHeight="1">
      <c r="A192" s="423"/>
      <c r="D192" s="424" t="s">
        <v>1252</v>
      </c>
      <c r="E192" s="424" t="s">
        <v>654</v>
      </c>
      <c r="G192" s="425">
        <v>1</v>
      </c>
      <c r="N192" s="426"/>
    </row>
    <row r="193" spans="1:64" ht="15" customHeight="1">
      <c r="A193" s="423"/>
      <c r="D193" s="424" t="s">
        <v>1253</v>
      </c>
      <c r="E193" s="424" t="s">
        <v>654</v>
      </c>
      <c r="G193" s="425">
        <v>2</v>
      </c>
      <c r="N193" s="426"/>
    </row>
    <row r="194" spans="1:64" ht="15" customHeight="1">
      <c r="A194" s="423"/>
      <c r="D194" s="424" t="s">
        <v>1254</v>
      </c>
      <c r="E194" s="424" t="s">
        <v>654</v>
      </c>
      <c r="G194" s="425">
        <v>7.0000000000000009</v>
      </c>
      <c r="N194" s="426"/>
    </row>
    <row r="195" spans="1:64" ht="15" customHeight="1">
      <c r="A195" s="423"/>
      <c r="D195" s="424" t="s">
        <v>1255</v>
      </c>
      <c r="E195" s="424" t="s">
        <v>654</v>
      </c>
      <c r="G195" s="425">
        <v>2</v>
      </c>
      <c r="N195" s="426"/>
    </row>
    <row r="196" spans="1:64" ht="15" customHeight="1">
      <c r="A196" s="423"/>
      <c r="D196" s="424" t="s">
        <v>1256</v>
      </c>
      <c r="E196" s="424" t="s">
        <v>654</v>
      </c>
      <c r="G196" s="425">
        <v>4</v>
      </c>
      <c r="N196" s="426"/>
    </row>
    <row r="197" spans="1:64" ht="15" customHeight="1">
      <c r="A197" s="423"/>
      <c r="D197" s="424" t="s">
        <v>1257</v>
      </c>
      <c r="E197" s="424" t="s">
        <v>654</v>
      </c>
      <c r="G197" s="425">
        <v>4</v>
      </c>
      <c r="N197" s="426"/>
    </row>
    <row r="198" spans="1:64" ht="15" customHeight="1">
      <c r="A198" s="423"/>
      <c r="D198" s="424" t="s">
        <v>1258</v>
      </c>
      <c r="E198" s="424" t="s">
        <v>654</v>
      </c>
      <c r="G198" s="425">
        <v>2</v>
      </c>
      <c r="N198" s="426"/>
    </row>
    <row r="199" spans="1:64" ht="15" customHeight="1">
      <c r="A199" s="401" t="s">
        <v>940</v>
      </c>
      <c r="B199" s="402" t="s">
        <v>654</v>
      </c>
      <c r="C199" s="402" t="s">
        <v>1259</v>
      </c>
      <c r="D199" s="440" t="s">
        <v>1260</v>
      </c>
      <c r="E199" s="440"/>
      <c r="F199" s="402" t="s">
        <v>14</v>
      </c>
      <c r="G199" s="420">
        <v>1</v>
      </c>
      <c r="H199" s="420"/>
      <c r="I199" s="420">
        <f t="shared" ref="I199:I206" si="0">G199*AO199</f>
        <v>0</v>
      </c>
      <c r="J199" s="420">
        <f t="shared" ref="J199:J206" si="1">G199*AP199</f>
        <v>0</v>
      </c>
      <c r="K199" s="420">
        <f t="shared" ref="K199:K206" si="2">G199*H199</f>
        <v>0</v>
      </c>
      <c r="L199" s="420">
        <v>0</v>
      </c>
      <c r="M199" s="420">
        <f t="shared" ref="M199:M206" si="3">G199*L199</f>
        <v>0</v>
      </c>
      <c r="N199" s="421" t="s">
        <v>654</v>
      </c>
      <c r="Z199" s="420">
        <f t="shared" ref="Z199:Z206" si="4">IF(AQ199="5",BJ199,0)</f>
        <v>0</v>
      </c>
      <c r="AB199" s="420">
        <f t="shared" ref="AB199:AB206" si="5">IF(AQ199="1",BH199,0)</f>
        <v>0</v>
      </c>
      <c r="AC199" s="420">
        <f t="shared" ref="AC199:AC206" si="6">IF(AQ199="1",BI199,0)</f>
        <v>0</v>
      </c>
      <c r="AD199" s="420">
        <f t="shared" ref="AD199:AD206" si="7">IF(AQ199="7",BH199,0)</f>
        <v>0</v>
      </c>
      <c r="AE199" s="420">
        <f t="shared" ref="AE199:AE206" si="8">IF(AQ199="7",BI199,0)</f>
        <v>0</v>
      </c>
      <c r="AF199" s="420">
        <f t="shared" ref="AF199:AF206" si="9">IF(AQ199="2",BH199,0)</f>
        <v>0</v>
      </c>
      <c r="AG199" s="420">
        <f t="shared" ref="AG199:AG206" si="10">IF(AQ199="2",BI199,0)</f>
        <v>0</v>
      </c>
      <c r="AH199" s="420">
        <f t="shared" ref="AH199:AH206" si="11">IF(AQ199="0",BJ199,0)</f>
        <v>0</v>
      </c>
      <c r="AI199" s="408" t="s">
        <v>654</v>
      </c>
      <c r="AJ199" s="420">
        <f t="shared" ref="AJ199:AJ206" si="12">IF(AN199=0,K199,0)</f>
        <v>0</v>
      </c>
      <c r="AK199" s="420">
        <f t="shared" ref="AK199:AK206" si="13">IF(AN199=15,K199,0)</f>
        <v>0</v>
      </c>
      <c r="AL199" s="420">
        <f t="shared" ref="AL199:AL206" si="14">IF(AN199=21,K199,0)</f>
        <v>0</v>
      </c>
      <c r="AN199" s="420">
        <v>21</v>
      </c>
      <c r="AO199" s="420">
        <f t="shared" ref="AO199:AO205" si="15">H199*1</f>
        <v>0</v>
      </c>
      <c r="AP199" s="420">
        <f t="shared" ref="AP199:AP205" si="16">H199*(1-1)</f>
        <v>0</v>
      </c>
      <c r="AQ199" s="422" t="s">
        <v>657</v>
      </c>
      <c r="AV199" s="420">
        <f t="shared" ref="AV199:AV206" si="17">AW199+AX199</f>
        <v>0</v>
      </c>
      <c r="AW199" s="420">
        <f t="shared" ref="AW199:AW206" si="18">G199*AO199</f>
        <v>0</v>
      </c>
      <c r="AX199" s="420">
        <f t="shared" ref="AX199:AX206" si="19">G199*AP199</f>
        <v>0</v>
      </c>
      <c r="AY199" s="422" t="s">
        <v>890</v>
      </c>
      <c r="AZ199" s="422" t="s">
        <v>891</v>
      </c>
      <c r="BA199" s="408" t="s">
        <v>662</v>
      </c>
      <c r="BC199" s="420">
        <f t="shared" ref="BC199:BC206" si="20">AW199+AX199</f>
        <v>0</v>
      </c>
      <c r="BD199" s="420">
        <f t="shared" ref="BD199:BD206" si="21">H199/(100-BE199)*100</f>
        <v>0</v>
      </c>
      <c r="BE199" s="420">
        <v>0</v>
      </c>
      <c r="BF199" s="420">
        <f t="shared" ref="BF199:BF206" si="22">M199</f>
        <v>0</v>
      </c>
      <c r="BH199" s="420">
        <f t="shared" ref="BH199:BH206" si="23">G199*AO199</f>
        <v>0</v>
      </c>
      <c r="BI199" s="420">
        <f t="shared" ref="BI199:BI206" si="24">G199*AP199</f>
        <v>0</v>
      </c>
      <c r="BJ199" s="420">
        <f t="shared" ref="BJ199:BJ206" si="25">G199*H199</f>
        <v>0</v>
      </c>
      <c r="BK199" s="420"/>
      <c r="BL199" s="420">
        <v>85</v>
      </c>
    </row>
    <row r="200" spans="1:64" ht="15" customHeight="1">
      <c r="A200" s="401" t="s">
        <v>944</v>
      </c>
      <c r="B200" s="402" t="s">
        <v>654</v>
      </c>
      <c r="C200" s="402" t="s">
        <v>1261</v>
      </c>
      <c r="D200" s="440" t="s">
        <v>1262</v>
      </c>
      <c r="E200" s="440"/>
      <c r="F200" s="402" t="s">
        <v>14</v>
      </c>
      <c r="G200" s="420">
        <v>2</v>
      </c>
      <c r="H200" s="420"/>
      <c r="I200" s="420">
        <f t="shared" si="0"/>
        <v>0</v>
      </c>
      <c r="J200" s="420">
        <f t="shared" si="1"/>
        <v>0</v>
      </c>
      <c r="K200" s="420">
        <f t="shared" si="2"/>
        <v>0</v>
      </c>
      <c r="L200" s="420">
        <v>0</v>
      </c>
      <c r="M200" s="420">
        <f t="shared" si="3"/>
        <v>0</v>
      </c>
      <c r="N200" s="421" t="s">
        <v>654</v>
      </c>
      <c r="Z200" s="420">
        <f t="shared" si="4"/>
        <v>0</v>
      </c>
      <c r="AB200" s="420">
        <f t="shared" si="5"/>
        <v>0</v>
      </c>
      <c r="AC200" s="420">
        <f t="shared" si="6"/>
        <v>0</v>
      </c>
      <c r="AD200" s="420">
        <f t="shared" si="7"/>
        <v>0</v>
      </c>
      <c r="AE200" s="420">
        <f t="shared" si="8"/>
        <v>0</v>
      </c>
      <c r="AF200" s="420">
        <f t="shared" si="9"/>
        <v>0</v>
      </c>
      <c r="AG200" s="420">
        <f t="shared" si="10"/>
        <v>0</v>
      </c>
      <c r="AH200" s="420">
        <f t="shared" si="11"/>
        <v>0</v>
      </c>
      <c r="AI200" s="408" t="s">
        <v>654</v>
      </c>
      <c r="AJ200" s="420">
        <f t="shared" si="12"/>
        <v>0</v>
      </c>
      <c r="AK200" s="420">
        <f t="shared" si="13"/>
        <v>0</v>
      </c>
      <c r="AL200" s="420">
        <f t="shared" si="14"/>
        <v>0</v>
      </c>
      <c r="AN200" s="420">
        <v>21</v>
      </c>
      <c r="AO200" s="420">
        <f t="shared" si="15"/>
        <v>0</v>
      </c>
      <c r="AP200" s="420">
        <f t="shared" si="16"/>
        <v>0</v>
      </c>
      <c r="AQ200" s="422" t="s">
        <v>657</v>
      </c>
      <c r="AV200" s="420">
        <f t="shared" si="17"/>
        <v>0</v>
      </c>
      <c r="AW200" s="420">
        <f t="shared" si="18"/>
        <v>0</v>
      </c>
      <c r="AX200" s="420">
        <f t="shared" si="19"/>
        <v>0</v>
      </c>
      <c r="AY200" s="422" t="s">
        <v>890</v>
      </c>
      <c r="AZ200" s="422" t="s">
        <v>891</v>
      </c>
      <c r="BA200" s="408" t="s">
        <v>662</v>
      </c>
      <c r="BC200" s="420">
        <f t="shared" si="20"/>
        <v>0</v>
      </c>
      <c r="BD200" s="420">
        <f t="shared" si="21"/>
        <v>0</v>
      </c>
      <c r="BE200" s="420">
        <v>0</v>
      </c>
      <c r="BF200" s="420">
        <f t="shared" si="22"/>
        <v>0</v>
      </c>
      <c r="BH200" s="420">
        <f t="shared" si="23"/>
        <v>0</v>
      </c>
      <c r="BI200" s="420">
        <f t="shared" si="24"/>
        <v>0</v>
      </c>
      <c r="BJ200" s="420">
        <f t="shared" si="25"/>
        <v>0</v>
      </c>
      <c r="BK200" s="420"/>
      <c r="BL200" s="420">
        <v>85</v>
      </c>
    </row>
    <row r="201" spans="1:64" ht="15" customHeight="1">
      <c r="A201" s="401" t="s">
        <v>947</v>
      </c>
      <c r="B201" s="402" t="s">
        <v>654</v>
      </c>
      <c r="C201" s="402" t="s">
        <v>1263</v>
      </c>
      <c r="D201" s="440" t="s">
        <v>1264</v>
      </c>
      <c r="E201" s="440"/>
      <c r="F201" s="402" t="s">
        <v>14</v>
      </c>
      <c r="G201" s="420">
        <v>7</v>
      </c>
      <c r="H201" s="420"/>
      <c r="I201" s="420">
        <f t="shared" si="0"/>
        <v>0</v>
      </c>
      <c r="J201" s="420">
        <f t="shared" si="1"/>
        <v>0</v>
      </c>
      <c r="K201" s="420">
        <f t="shared" si="2"/>
        <v>0</v>
      </c>
      <c r="L201" s="420">
        <v>0</v>
      </c>
      <c r="M201" s="420">
        <f t="shared" si="3"/>
        <v>0</v>
      </c>
      <c r="N201" s="421" t="s">
        <v>654</v>
      </c>
      <c r="Z201" s="420">
        <f t="shared" si="4"/>
        <v>0</v>
      </c>
      <c r="AB201" s="420">
        <f t="shared" si="5"/>
        <v>0</v>
      </c>
      <c r="AC201" s="420">
        <f t="shared" si="6"/>
        <v>0</v>
      </c>
      <c r="AD201" s="420">
        <f t="shared" si="7"/>
        <v>0</v>
      </c>
      <c r="AE201" s="420">
        <f t="shared" si="8"/>
        <v>0</v>
      </c>
      <c r="AF201" s="420">
        <f t="shared" si="9"/>
        <v>0</v>
      </c>
      <c r="AG201" s="420">
        <f t="shared" si="10"/>
        <v>0</v>
      </c>
      <c r="AH201" s="420">
        <f t="shared" si="11"/>
        <v>0</v>
      </c>
      <c r="AI201" s="408" t="s">
        <v>654</v>
      </c>
      <c r="AJ201" s="420">
        <f t="shared" si="12"/>
        <v>0</v>
      </c>
      <c r="AK201" s="420">
        <f t="shared" si="13"/>
        <v>0</v>
      </c>
      <c r="AL201" s="420">
        <f t="shared" si="14"/>
        <v>0</v>
      </c>
      <c r="AN201" s="420">
        <v>21</v>
      </c>
      <c r="AO201" s="420">
        <f t="shared" si="15"/>
        <v>0</v>
      </c>
      <c r="AP201" s="420">
        <f t="shared" si="16"/>
        <v>0</v>
      </c>
      <c r="AQ201" s="422" t="s">
        <v>657</v>
      </c>
      <c r="AV201" s="420">
        <f t="shared" si="17"/>
        <v>0</v>
      </c>
      <c r="AW201" s="420">
        <f t="shared" si="18"/>
        <v>0</v>
      </c>
      <c r="AX201" s="420">
        <f t="shared" si="19"/>
        <v>0</v>
      </c>
      <c r="AY201" s="422" t="s">
        <v>890</v>
      </c>
      <c r="AZ201" s="422" t="s">
        <v>891</v>
      </c>
      <c r="BA201" s="408" t="s">
        <v>662</v>
      </c>
      <c r="BC201" s="420">
        <f t="shared" si="20"/>
        <v>0</v>
      </c>
      <c r="BD201" s="420">
        <f t="shared" si="21"/>
        <v>0</v>
      </c>
      <c r="BE201" s="420">
        <v>0</v>
      </c>
      <c r="BF201" s="420">
        <f t="shared" si="22"/>
        <v>0</v>
      </c>
      <c r="BH201" s="420">
        <f t="shared" si="23"/>
        <v>0</v>
      </c>
      <c r="BI201" s="420">
        <f t="shared" si="24"/>
        <v>0</v>
      </c>
      <c r="BJ201" s="420">
        <f t="shared" si="25"/>
        <v>0</v>
      </c>
      <c r="BK201" s="420"/>
      <c r="BL201" s="420">
        <v>85</v>
      </c>
    </row>
    <row r="202" spans="1:64" ht="15" customHeight="1">
      <c r="A202" s="401" t="s">
        <v>950</v>
      </c>
      <c r="B202" s="402" t="s">
        <v>654</v>
      </c>
      <c r="C202" s="402" t="s">
        <v>1265</v>
      </c>
      <c r="D202" s="440" t="s">
        <v>1266</v>
      </c>
      <c r="E202" s="440"/>
      <c r="F202" s="402" t="s">
        <v>14</v>
      </c>
      <c r="G202" s="420">
        <v>2</v>
      </c>
      <c r="H202" s="420"/>
      <c r="I202" s="420">
        <f t="shared" si="0"/>
        <v>0</v>
      </c>
      <c r="J202" s="420">
        <f t="shared" si="1"/>
        <v>0</v>
      </c>
      <c r="K202" s="420">
        <f t="shared" si="2"/>
        <v>0</v>
      </c>
      <c r="L202" s="420">
        <v>0</v>
      </c>
      <c r="M202" s="420">
        <f t="shared" si="3"/>
        <v>0</v>
      </c>
      <c r="N202" s="421" t="s">
        <v>654</v>
      </c>
      <c r="Z202" s="420">
        <f t="shared" si="4"/>
        <v>0</v>
      </c>
      <c r="AB202" s="420">
        <f t="shared" si="5"/>
        <v>0</v>
      </c>
      <c r="AC202" s="420">
        <f t="shared" si="6"/>
        <v>0</v>
      </c>
      <c r="AD202" s="420">
        <f t="shared" si="7"/>
        <v>0</v>
      </c>
      <c r="AE202" s="420">
        <f t="shared" si="8"/>
        <v>0</v>
      </c>
      <c r="AF202" s="420">
        <f t="shared" si="9"/>
        <v>0</v>
      </c>
      <c r="AG202" s="420">
        <f t="shared" si="10"/>
        <v>0</v>
      </c>
      <c r="AH202" s="420">
        <f t="shared" si="11"/>
        <v>0</v>
      </c>
      <c r="AI202" s="408" t="s">
        <v>654</v>
      </c>
      <c r="AJ202" s="420">
        <f t="shared" si="12"/>
        <v>0</v>
      </c>
      <c r="AK202" s="420">
        <f t="shared" si="13"/>
        <v>0</v>
      </c>
      <c r="AL202" s="420">
        <f t="shared" si="14"/>
        <v>0</v>
      </c>
      <c r="AN202" s="420">
        <v>21</v>
      </c>
      <c r="AO202" s="420">
        <f t="shared" si="15"/>
        <v>0</v>
      </c>
      <c r="AP202" s="420">
        <f t="shared" si="16"/>
        <v>0</v>
      </c>
      <c r="AQ202" s="422" t="s">
        <v>657</v>
      </c>
      <c r="AV202" s="420">
        <f t="shared" si="17"/>
        <v>0</v>
      </c>
      <c r="AW202" s="420">
        <f t="shared" si="18"/>
        <v>0</v>
      </c>
      <c r="AX202" s="420">
        <f t="shared" si="19"/>
        <v>0</v>
      </c>
      <c r="AY202" s="422" t="s">
        <v>890</v>
      </c>
      <c r="AZ202" s="422" t="s">
        <v>891</v>
      </c>
      <c r="BA202" s="408" t="s">
        <v>662</v>
      </c>
      <c r="BC202" s="420">
        <f t="shared" si="20"/>
        <v>0</v>
      </c>
      <c r="BD202" s="420">
        <f t="shared" si="21"/>
        <v>0</v>
      </c>
      <c r="BE202" s="420">
        <v>0</v>
      </c>
      <c r="BF202" s="420">
        <f t="shared" si="22"/>
        <v>0</v>
      </c>
      <c r="BH202" s="420">
        <f t="shared" si="23"/>
        <v>0</v>
      </c>
      <c r="BI202" s="420">
        <f t="shared" si="24"/>
        <v>0</v>
      </c>
      <c r="BJ202" s="420">
        <f t="shared" si="25"/>
        <v>0</v>
      </c>
      <c r="BK202" s="420"/>
      <c r="BL202" s="420">
        <v>85</v>
      </c>
    </row>
    <row r="203" spans="1:64" ht="15" customHeight="1">
      <c r="A203" s="401" t="s">
        <v>953</v>
      </c>
      <c r="B203" s="402" t="s">
        <v>654</v>
      </c>
      <c r="C203" s="402" t="s">
        <v>1267</v>
      </c>
      <c r="D203" s="440" t="s">
        <v>1268</v>
      </c>
      <c r="E203" s="440"/>
      <c r="F203" s="402" t="s">
        <v>14</v>
      </c>
      <c r="G203" s="420">
        <v>4</v>
      </c>
      <c r="H203" s="420"/>
      <c r="I203" s="420">
        <f t="shared" si="0"/>
        <v>0</v>
      </c>
      <c r="J203" s="420">
        <f t="shared" si="1"/>
        <v>0</v>
      </c>
      <c r="K203" s="420">
        <f t="shared" si="2"/>
        <v>0</v>
      </c>
      <c r="L203" s="420">
        <v>0</v>
      </c>
      <c r="M203" s="420">
        <f t="shared" si="3"/>
        <v>0</v>
      </c>
      <c r="N203" s="421" t="s">
        <v>654</v>
      </c>
      <c r="Z203" s="420">
        <f t="shared" si="4"/>
        <v>0</v>
      </c>
      <c r="AB203" s="420">
        <f t="shared" si="5"/>
        <v>0</v>
      </c>
      <c r="AC203" s="420">
        <f t="shared" si="6"/>
        <v>0</v>
      </c>
      <c r="AD203" s="420">
        <f t="shared" si="7"/>
        <v>0</v>
      </c>
      <c r="AE203" s="420">
        <f t="shared" si="8"/>
        <v>0</v>
      </c>
      <c r="AF203" s="420">
        <f t="shared" si="9"/>
        <v>0</v>
      </c>
      <c r="AG203" s="420">
        <f t="shared" si="10"/>
        <v>0</v>
      </c>
      <c r="AH203" s="420">
        <f t="shared" si="11"/>
        <v>0</v>
      </c>
      <c r="AI203" s="408" t="s">
        <v>654</v>
      </c>
      <c r="AJ203" s="420">
        <f t="shared" si="12"/>
        <v>0</v>
      </c>
      <c r="AK203" s="420">
        <f t="shared" si="13"/>
        <v>0</v>
      </c>
      <c r="AL203" s="420">
        <f t="shared" si="14"/>
        <v>0</v>
      </c>
      <c r="AN203" s="420">
        <v>21</v>
      </c>
      <c r="AO203" s="420">
        <f t="shared" si="15"/>
        <v>0</v>
      </c>
      <c r="AP203" s="420">
        <f t="shared" si="16"/>
        <v>0</v>
      </c>
      <c r="AQ203" s="422" t="s">
        <v>657</v>
      </c>
      <c r="AV203" s="420">
        <f t="shared" si="17"/>
        <v>0</v>
      </c>
      <c r="AW203" s="420">
        <f t="shared" si="18"/>
        <v>0</v>
      </c>
      <c r="AX203" s="420">
        <f t="shared" si="19"/>
        <v>0</v>
      </c>
      <c r="AY203" s="422" t="s">
        <v>890</v>
      </c>
      <c r="AZ203" s="422" t="s">
        <v>891</v>
      </c>
      <c r="BA203" s="408" t="s">
        <v>662</v>
      </c>
      <c r="BC203" s="420">
        <f t="shared" si="20"/>
        <v>0</v>
      </c>
      <c r="BD203" s="420">
        <f t="shared" si="21"/>
        <v>0</v>
      </c>
      <c r="BE203" s="420">
        <v>0</v>
      </c>
      <c r="BF203" s="420">
        <f t="shared" si="22"/>
        <v>0</v>
      </c>
      <c r="BH203" s="420">
        <f t="shared" si="23"/>
        <v>0</v>
      </c>
      <c r="BI203" s="420">
        <f t="shared" si="24"/>
        <v>0</v>
      </c>
      <c r="BJ203" s="420">
        <f t="shared" si="25"/>
        <v>0</v>
      </c>
      <c r="BK203" s="420"/>
      <c r="BL203" s="420">
        <v>85</v>
      </c>
    </row>
    <row r="204" spans="1:64" ht="15" customHeight="1">
      <c r="A204" s="401" t="s">
        <v>956</v>
      </c>
      <c r="B204" s="402" t="s">
        <v>654</v>
      </c>
      <c r="C204" s="402" t="s">
        <v>1269</v>
      </c>
      <c r="D204" s="440" t="s">
        <v>1270</v>
      </c>
      <c r="E204" s="440"/>
      <c r="F204" s="402" t="s">
        <v>14</v>
      </c>
      <c r="G204" s="420">
        <v>4</v>
      </c>
      <c r="H204" s="420"/>
      <c r="I204" s="420">
        <f t="shared" si="0"/>
        <v>0</v>
      </c>
      <c r="J204" s="420">
        <f t="shared" si="1"/>
        <v>0</v>
      </c>
      <c r="K204" s="420">
        <f t="shared" si="2"/>
        <v>0</v>
      </c>
      <c r="L204" s="420">
        <v>0</v>
      </c>
      <c r="M204" s="420">
        <f t="shared" si="3"/>
        <v>0</v>
      </c>
      <c r="N204" s="421" t="s">
        <v>654</v>
      </c>
      <c r="Z204" s="420">
        <f t="shared" si="4"/>
        <v>0</v>
      </c>
      <c r="AB204" s="420">
        <f t="shared" si="5"/>
        <v>0</v>
      </c>
      <c r="AC204" s="420">
        <f t="shared" si="6"/>
        <v>0</v>
      </c>
      <c r="AD204" s="420">
        <f t="shared" si="7"/>
        <v>0</v>
      </c>
      <c r="AE204" s="420">
        <f t="shared" si="8"/>
        <v>0</v>
      </c>
      <c r="AF204" s="420">
        <f t="shared" si="9"/>
        <v>0</v>
      </c>
      <c r="AG204" s="420">
        <f t="shared" si="10"/>
        <v>0</v>
      </c>
      <c r="AH204" s="420">
        <f t="shared" si="11"/>
        <v>0</v>
      </c>
      <c r="AI204" s="408" t="s">
        <v>654</v>
      </c>
      <c r="AJ204" s="420">
        <f t="shared" si="12"/>
        <v>0</v>
      </c>
      <c r="AK204" s="420">
        <f t="shared" si="13"/>
        <v>0</v>
      </c>
      <c r="AL204" s="420">
        <f t="shared" si="14"/>
        <v>0</v>
      </c>
      <c r="AN204" s="420">
        <v>21</v>
      </c>
      <c r="AO204" s="420">
        <f t="shared" si="15"/>
        <v>0</v>
      </c>
      <c r="AP204" s="420">
        <f t="shared" si="16"/>
        <v>0</v>
      </c>
      <c r="AQ204" s="422" t="s">
        <v>657</v>
      </c>
      <c r="AV204" s="420">
        <f t="shared" si="17"/>
        <v>0</v>
      </c>
      <c r="AW204" s="420">
        <f t="shared" si="18"/>
        <v>0</v>
      </c>
      <c r="AX204" s="420">
        <f t="shared" si="19"/>
        <v>0</v>
      </c>
      <c r="AY204" s="422" t="s">
        <v>890</v>
      </c>
      <c r="AZ204" s="422" t="s">
        <v>891</v>
      </c>
      <c r="BA204" s="408" t="s">
        <v>662</v>
      </c>
      <c r="BC204" s="420">
        <f t="shared" si="20"/>
        <v>0</v>
      </c>
      <c r="BD204" s="420">
        <f t="shared" si="21"/>
        <v>0</v>
      </c>
      <c r="BE204" s="420">
        <v>0</v>
      </c>
      <c r="BF204" s="420">
        <f t="shared" si="22"/>
        <v>0</v>
      </c>
      <c r="BH204" s="420">
        <f t="shared" si="23"/>
        <v>0</v>
      </c>
      <c r="BI204" s="420">
        <f t="shared" si="24"/>
        <v>0</v>
      </c>
      <c r="BJ204" s="420">
        <f t="shared" si="25"/>
        <v>0</v>
      </c>
      <c r="BK204" s="420"/>
      <c r="BL204" s="420">
        <v>85</v>
      </c>
    </row>
    <row r="205" spans="1:64" ht="15" customHeight="1">
      <c r="A205" s="401" t="s">
        <v>959</v>
      </c>
      <c r="B205" s="402" t="s">
        <v>654</v>
      </c>
      <c r="C205" s="402" t="s">
        <v>1271</v>
      </c>
      <c r="D205" s="440" t="s">
        <v>1272</v>
      </c>
      <c r="E205" s="440"/>
      <c r="F205" s="402" t="s">
        <v>14</v>
      </c>
      <c r="G205" s="420">
        <v>2</v>
      </c>
      <c r="H205" s="420"/>
      <c r="I205" s="420">
        <f t="shared" si="0"/>
        <v>0</v>
      </c>
      <c r="J205" s="420">
        <f t="shared" si="1"/>
        <v>0</v>
      </c>
      <c r="K205" s="420">
        <f t="shared" si="2"/>
        <v>0</v>
      </c>
      <c r="L205" s="420">
        <v>0</v>
      </c>
      <c r="M205" s="420">
        <f t="shared" si="3"/>
        <v>0</v>
      </c>
      <c r="N205" s="421" t="s">
        <v>654</v>
      </c>
      <c r="Z205" s="420">
        <f t="shared" si="4"/>
        <v>0</v>
      </c>
      <c r="AB205" s="420">
        <f t="shared" si="5"/>
        <v>0</v>
      </c>
      <c r="AC205" s="420">
        <f t="shared" si="6"/>
        <v>0</v>
      </c>
      <c r="AD205" s="420">
        <f t="shared" si="7"/>
        <v>0</v>
      </c>
      <c r="AE205" s="420">
        <f t="shared" si="8"/>
        <v>0</v>
      </c>
      <c r="AF205" s="420">
        <f t="shared" si="9"/>
        <v>0</v>
      </c>
      <c r="AG205" s="420">
        <f t="shared" si="10"/>
        <v>0</v>
      </c>
      <c r="AH205" s="420">
        <f t="shared" si="11"/>
        <v>0</v>
      </c>
      <c r="AI205" s="408" t="s">
        <v>654</v>
      </c>
      <c r="AJ205" s="420">
        <f t="shared" si="12"/>
        <v>0</v>
      </c>
      <c r="AK205" s="420">
        <f t="shared" si="13"/>
        <v>0</v>
      </c>
      <c r="AL205" s="420">
        <f t="shared" si="14"/>
        <v>0</v>
      </c>
      <c r="AN205" s="420">
        <v>21</v>
      </c>
      <c r="AO205" s="420">
        <f t="shared" si="15"/>
        <v>0</v>
      </c>
      <c r="AP205" s="420">
        <f t="shared" si="16"/>
        <v>0</v>
      </c>
      <c r="AQ205" s="422" t="s">
        <v>657</v>
      </c>
      <c r="AV205" s="420">
        <f t="shared" si="17"/>
        <v>0</v>
      </c>
      <c r="AW205" s="420">
        <f t="shared" si="18"/>
        <v>0</v>
      </c>
      <c r="AX205" s="420">
        <f t="shared" si="19"/>
        <v>0</v>
      </c>
      <c r="AY205" s="422" t="s">
        <v>890</v>
      </c>
      <c r="AZ205" s="422" t="s">
        <v>891</v>
      </c>
      <c r="BA205" s="408" t="s">
        <v>662</v>
      </c>
      <c r="BC205" s="420">
        <f t="shared" si="20"/>
        <v>0</v>
      </c>
      <c r="BD205" s="420">
        <f t="shared" si="21"/>
        <v>0</v>
      </c>
      <c r="BE205" s="420">
        <v>0</v>
      </c>
      <c r="BF205" s="420">
        <f t="shared" si="22"/>
        <v>0</v>
      </c>
      <c r="BH205" s="420">
        <f t="shared" si="23"/>
        <v>0</v>
      </c>
      <c r="BI205" s="420">
        <f t="shared" si="24"/>
        <v>0</v>
      </c>
      <c r="BJ205" s="420">
        <f t="shared" si="25"/>
        <v>0</v>
      </c>
      <c r="BK205" s="420"/>
      <c r="BL205" s="420">
        <v>85</v>
      </c>
    </row>
    <row r="206" spans="1:64" ht="15" customHeight="1">
      <c r="A206" s="401" t="s">
        <v>962</v>
      </c>
      <c r="B206" s="402" t="s">
        <v>654</v>
      </c>
      <c r="C206" s="402" t="s">
        <v>1273</v>
      </c>
      <c r="D206" s="440" t="s">
        <v>1274</v>
      </c>
      <c r="E206" s="440"/>
      <c r="F206" s="402" t="s">
        <v>14</v>
      </c>
      <c r="G206" s="420">
        <v>5</v>
      </c>
      <c r="H206" s="420"/>
      <c r="I206" s="420">
        <f t="shared" si="0"/>
        <v>0</v>
      </c>
      <c r="J206" s="420">
        <f t="shared" si="1"/>
        <v>0</v>
      </c>
      <c r="K206" s="420">
        <f t="shared" si="2"/>
        <v>0</v>
      </c>
      <c r="L206" s="420">
        <v>0</v>
      </c>
      <c r="M206" s="420">
        <f t="shared" si="3"/>
        <v>0</v>
      </c>
      <c r="N206" s="421" t="s">
        <v>1358</v>
      </c>
      <c r="Z206" s="420">
        <f t="shared" si="4"/>
        <v>0</v>
      </c>
      <c r="AB206" s="420">
        <f t="shared" si="5"/>
        <v>0</v>
      </c>
      <c r="AC206" s="420">
        <f t="shared" si="6"/>
        <v>0</v>
      </c>
      <c r="AD206" s="420">
        <f t="shared" si="7"/>
        <v>0</v>
      </c>
      <c r="AE206" s="420">
        <f t="shared" si="8"/>
        <v>0</v>
      </c>
      <c r="AF206" s="420">
        <f t="shared" si="9"/>
        <v>0</v>
      </c>
      <c r="AG206" s="420">
        <f t="shared" si="10"/>
        <v>0</v>
      </c>
      <c r="AH206" s="420">
        <f t="shared" si="11"/>
        <v>0</v>
      </c>
      <c r="AI206" s="408" t="s">
        <v>654</v>
      </c>
      <c r="AJ206" s="420">
        <f t="shared" si="12"/>
        <v>0</v>
      </c>
      <c r="AK206" s="420">
        <f t="shared" si="13"/>
        <v>0</v>
      </c>
      <c r="AL206" s="420">
        <f t="shared" si="14"/>
        <v>0</v>
      </c>
      <c r="AN206" s="420">
        <v>21</v>
      </c>
      <c r="AO206" s="420">
        <f>H206*0.0000190234622701332</f>
        <v>0</v>
      </c>
      <c r="AP206" s="420">
        <f>H206*(1-0.0000190234622701332)</f>
        <v>0</v>
      </c>
      <c r="AQ206" s="422" t="s">
        <v>657</v>
      </c>
      <c r="AV206" s="420">
        <f t="shared" si="17"/>
        <v>0</v>
      </c>
      <c r="AW206" s="420">
        <f t="shared" si="18"/>
        <v>0</v>
      </c>
      <c r="AX206" s="420">
        <f t="shared" si="19"/>
        <v>0</v>
      </c>
      <c r="AY206" s="422" t="s">
        <v>890</v>
      </c>
      <c r="AZ206" s="422" t="s">
        <v>891</v>
      </c>
      <c r="BA206" s="408" t="s">
        <v>662</v>
      </c>
      <c r="BC206" s="420">
        <f t="shared" si="20"/>
        <v>0</v>
      </c>
      <c r="BD206" s="420">
        <f t="shared" si="21"/>
        <v>0</v>
      </c>
      <c r="BE206" s="420">
        <v>0</v>
      </c>
      <c r="BF206" s="420">
        <f t="shared" si="22"/>
        <v>0</v>
      </c>
      <c r="BH206" s="420">
        <f t="shared" si="23"/>
        <v>0</v>
      </c>
      <c r="BI206" s="420">
        <f t="shared" si="24"/>
        <v>0</v>
      </c>
      <c r="BJ206" s="420">
        <f t="shared" si="25"/>
        <v>0</v>
      </c>
      <c r="BK206" s="420"/>
      <c r="BL206" s="420">
        <v>85</v>
      </c>
    </row>
    <row r="207" spans="1:64" ht="15" customHeight="1">
      <c r="A207" s="423"/>
      <c r="D207" s="424" t="s">
        <v>1275</v>
      </c>
      <c r="E207" s="424" t="s">
        <v>654</v>
      </c>
      <c r="G207" s="425">
        <v>2</v>
      </c>
      <c r="N207" s="426"/>
    </row>
    <row r="208" spans="1:64" ht="15" customHeight="1">
      <c r="A208" s="423"/>
      <c r="D208" s="424" t="s">
        <v>1276</v>
      </c>
      <c r="E208" s="424" t="s">
        <v>654</v>
      </c>
      <c r="G208" s="425">
        <v>3.0000000000000004</v>
      </c>
      <c r="N208" s="426"/>
    </row>
    <row r="209" spans="1:64" ht="15" customHeight="1">
      <c r="A209" s="401" t="s">
        <v>966</v>
      </c>
      <c r="B209" s="402" t="s">
        <v>654</v>
      </c>
      <c r="C209" s="402" t="s">
        <v>1277</v>
      </c>
      <c r="D209" s="440" t="s">
        <v>1278</v>
      </c>
      <c r="E209" s="440"/>
      <c r="F209" s="402" t="s">
        <v>14</v>
      </c>
      <c r="G209" s="420">
        <v>2</v>
      </c>
      <c r="H209" s="420"/>
      <c r="I209" s="420">
        <f>G209*AO209</f>
        <v>0</v>
      </c>
      <c r="J209" s="420">
        <f>G209*AP209</f>
        <v>0</v>
      </c>
      <c r="K209" s="420">
        <f>G209*H209</f>
        <v>0</v>
      </c>
      <c r="L209" s="420">
        <v>0</v>
      </c>
      <c r="M209" s="420">
        <f>G209*L209</f>
        <v>0</v>
      </c>
      <c r="N209" s="421" t="s">
        <v>654</v>
      </c>
      <c r="Z209" s="420">
        <f>IF(AQ209="5",BJ209,0)</f>
        <v>0</v>
      </c>
      <c r="AB209" s="420">
        <f>IF(AQ209="1",BH209,0)</f>
        <v>0</v>
      </c>
      <c r="AC209" s="420">
        <f>IF(AQ209="1",BI209,0)</f>
        <v>0</v>
      </c>
      <c r="AD209" s="420">
        <f>IF(AQ209="7",BH209,0)</f>
        <v>0</v>
      </c>
      <c r="AE209" s="420">
        <f>IF(AQ209="7",BI209,0)</f>
        <v>0</v>
      </c>
      <c r="AF209" s="420">
        <f>IF(AQ209="2",BH209,0)</f>
        <v>0</v>
      </c>
      <c r="AG209" s="420">
        <f>IF(AQ209="2",BI209,0)</f>
        <v>0</v>
      </c>
      <c r="AH209" s="420">
        <f>IF(AQ209="0",BJ209,0)</f>
        <v>0</v>
      </c>
      <c r="AI209" s="408" t="s">
        <v>654</v>
      </c>
      <c r="AJ209" s="420">
        <f>IF(AN209=0,K209,0)</f>
        <v>0</v>
      </c>
      <c r="AK209" s="420">
        <f>IF(AN209=15,K209,0)</f>
        <v>0</v>
      </c>
      <c r="AL209" s="420">
        <f>IF(AN209=21,K209,0)</f>
        <v>0</v>
      </c>
      <c r="AN209" s="420">
        <v>21</v>
      </c>
      <c r="AO209" s="420">
        <f>H209*1</f>
        <v>0</v>
      </c>
      <c r="AP209" s="420">
        <f>H209*(1-1)</f>
        <v>0</v>
      </c>
      <c r="AQ209" s="422" t="s">
        <v>657</v>
      </c>
      <c r="AV209" s="420">
        <f>AW209+AX209</f>
        <v>0</v>
      </c>
      <c r="AW209" s="420">
        <f>G209*AO209</f>
        <v>0</v>
      </c>
      <c r="AX209" s="420">
        <f>G209*AP209</f>
        <v>0</v>
      </c>
      <c r="AY209" s="422" t="s">
        <v>890</v>
      </c>
      <c r="AZ209" s="422" t="s">
        <v>891</v>
      </c>
      <c r="BA209" s="408" t="s">
        <v>662</v>
      </c>
      <c r="BC209" s="420">
        <f>AW209+AX209</f>
        <v>0</v>
      </c>
      <c r="BD209" s="420">
        <f>H209/(100-BE209)*100</f>
        <v>0</v>
      </c>
      <c r="BE209" s="420">
        <v>0</v>
      </c>
      <c r="BF209" s="420">
        <f>M209</f>
        <v>0</v>
      </c>
      <c r="BH209" s="420">
        <f>G209*AO209</f>
        <v>0</v>
      </c>
      <c r="BI209" s="420">
        <f>G209*AP209</f>
        <v>0</v>
      </c>
      <c r="BJ209" s="420">
        <f>G209*H209</f>
        <v>0</v>
      </c>
      <c r="BK209" s="420"/>
      <c r="BL209" s="420">
        <v>85</v>
      </c>
    </row>
    <row r="210" spans="1:64" ht="15" customHeight="1">
      <c r="A210" s="401" t="s">
        <v>969</v>
      </c>
      <c r="B210" s="402" t="s">
        <v>654</v>
      </c>
      <c r="C210" s="402" t="s">
        <v>1279</v>
      </c>
      <c r="D210" s="440" t="s">
        <v>1280</v>
      </c>
      <c r="E210" s="440"/>
      <c r="F210" s="402" t="s">
        <v>14</v>
      </c>
      <c r="G210" s="420">
        <v>3</v>
      </c>
      <c r="H210" s="420"/>
      <c r="I210" s="420">
        <f>G210*AO210</f>
        <v>0</v>
      </c>
      <c r="J210" s="420">
        <f>G210*AP210</f>
        <v>0</v>
      </c>
      <c r="K210" s="420">
        <f>G210*H210</f>
        <v>0</v>
      </c>
      <c r="L210" s="420">
        <v>0</v>
      </c>
      <c r="M210" s="420">
        <f>G210*L210</f>
        <v>0</v>
      </c>
      <c r="N210" s="421" t="s">
        <v>654</v>
      </c>
      <c r="Z210" s="420">
        <f>IF(AQ210="5",BJ210,0)</f>
        <v>0</v>
      </c>
      <c r="AB210" s="420">
        <f>IF(AQ210="1",BH210,0)</f>
        <v>0</v>
      </c>
      <c r="AC210" s="420">
        <f>IF(AQ210="1",BI210,0)</f>
        <v>0</v>
      </c>
      <c r="AD210" s="420">
        <f>IF(AQ210="7",BH210,0)</f>
        <v>0</v>
      </c>
      <c r="AE210" s="420">
        <f>IF(AQ210="7",BI210,0)</f>
        <v>0</v>
      </c>
      <c r="AF210" s="420">
        <f>IF(AQ210="2",BH210,0)</f>
        <v>0</v>
      </c>
      <c r="AG210" s="420">
        <f>IF(AQ210="2",BI210,0)</f>
        <v>0</v>
      </c>
      <c r="AH210" s="420">
        <f>IF(AQ210="0",BJ210,0)</f>
        <v>0</v>
      </c>
      <c r="AI210" s="408" t="s">
        <v>654</v>
      </c>
      <c r="AJ210" s="420">
        <f>IF(AN210=0,K210,0)</f>
        <v>0</v>
      </c>
      <c r="AK210" s="420">
        <f>IF(AN210=15,K210,0)</f>
        <v>0</v>
      </c>
      <c r="AL210" s="420">
        <f>IF(AN210=21,K210,0)</f>
        <v>0</v>
      </c>
      <c r="AN210" s="420">
        <v>21</v>
      </c>
      <c r="AO210" s="420">
        <f>H210*1</f>
        <v>0</v>
      </c>
      <c r="AP210" s="420">
        <f>H210*(1-1)</f>
        <v>0</v>
      </c>
      <c r="AQ210" s="422" t="s">
        <v>657</v>
      </c>
      <c r="AV210" s="420">
        <f>AW210+AX210</f>
        <v>0</v>
      </c>
      <c r="AW210" s="420">
        <f>G210*AO210</f>
        <v>0</v>
      </c>
      <c r="AX210" s="420">
        <f>G210*AP210</f>
        <v>0</v>
      </c>
      <c r="AY210" s="422" t="s">
        <v>890</v>
      </c>
      <c r="AZ210" s="422" t="s">
        <v>891</v>
      </c>
      <c r="BA210" s="408" t="s">
        <v>662</v>
      </c>
      <c r="BC210" s="420">
        <f>AW210+AX210</f>
        <v>0</v>
      </c>
      <c r="BD210" s="420">
        <f>H210/(100-BE210)*100</f>
        <v>0</v>
      </c>
      <c r="BE210" s="420">
        <v>0</v>
      </c>
      <c r="BF210" s="420">
        <f>M210</f>
        <v>0</v>
      </c>
      <c r="BH210" s="420">
        <f>G210*AO210</f>
        <v>0</v>
      </c>
      <c r="BI210" s="420">
        <f>G210*AP210</f>
        <v>0</v>
      </c>
      <c r="BJ210" s="420">
        <f>G210*H210</f>
        <v>0</v>
      </c>
      <c r="BK210" s="420"/>
      <c r="BL210" s="420">
        <v>85</v>
      </c>
    </row>
    <row r="211" spans="1:64" ht="15" customHeight="1">
      <c r="A211" s="401" t="s">
        <v>972</v>
      </c>
      <c r="B211" s="402" t="s">
        <v>654</v>
      </c>
      <c r="C211" s="402" t="s">
        <v>1281</v>
      </c>
      <c r="D211" s="440" t="s">
        <v>1282</v>
      </c>
      <c r="E211" s="440"/>
      <c r="F211" s="402" t="s">
        <v>14</v>
      </c>
      <c r="G211" s="420">
        <v>4</v>
      </c>
      <c r="H211" s="420"/>
      <c r="I211" s="420">
        <f>G211*AO211</f>
        <v>0</v>
      </c>
      <c r="J211" s="420">
        <f>G211*AP211</f>
        <v>0</v>
      </c>
      <c r="K211" s="420">
        <f>G211*H211</f>
        <v>0</v>
      </c>
      <c r="L211" s="420">
        <v>0</v>
      </c>
      <c r="M211" s="420">
        <f>G211*L211</f>
        <v>0</v>
      </c>
      <c r="N211" s="421" t="s">
        <v>1358</v>
      </c>
      <c r="Z211" s="420">
        <f>IF(AQ211="5",BJ211,0)</f>
        <v>0</v>
      </c>
      <c r="AB211" s="420">
        <f>IF(AQ211="1",BH211,0)</f>
        <v>0</v>
      </c>
      <c r="AC211" s="420">
        <f>IF(AQ211="1",BI211,0)</f>
        <v>0</v>
      </c>
      <c r="AD211" s="420">
        <f>IF(AQ211="7",BH211,0)</f>
        <v>0</v>
      </c>
      <c r="AE211" s="420">
        <f>IF(AQ211="7",BI211,0)</f>
        <v>0</v>
      </c>
      <c r="AF211" s="420">
        <f>IF(AQ211="2",BH211,0)</f>
        <v>0</v>
      </c>
      <c r="AG211" s="420">
        <f>IF(AQ211="2",BI211,0)</f>
        <v>0</v>
      </c>
      <c r="AH211" s="420">
        <f>IF(AQ211="0",BJ211,0)</f>
        <v>0</v>
      </c>
      <c r="AI211" s="408" t="s">
        <v>654</v>
      </c>
      <c r="AJ211" s="420">
        <f>IF(AN211=0,K211,0)</f>
        <v>0</v>
      </c>
      <c r="AK211" s="420">
        <f>IF(AN211=15,K211,0)</f>
        <v>0</v>
      </c>
      <c r="AL211" s="420">
        <f>IF(AN211=21,K211,0)</f>
        <v>0</v>
      </c>
      <c r="AN211" s="420">
        <v>21</v>
      </c>
      <c r="AO211" s="420">
        <f>H211*0.0000182233176460941</f>
        <v>0</v>
      </c>
      <c r="AP211" s="420">
        <f>H211*(1-0.0000182233176460941)</f>
        <v>0</v>
      </c>
      <c r="AQ211" s="422" t="s">
        <v>657</v>
      </c>
      <c r="AV211" s="420">
        <f>AW211+AX211</f>
        <v>0</v>
      </c>
      <c r="AW211" s="420">
        <f>G211*AO211</f>
        <v>0</v>
      </c>
      <c r="AX211" s="420">
        <f>G211*AP211</f>
        <v>0</v>
      </c>
      <c r="AY211" s="422" t="s">
        <v>890</v>
      </c>
      <c r="AZ211" s="422" t="s">
        <v>891</v>
      </c>
      <c r="BA211" s="408" t="s">
        <v>662</v>
      </c>
      <c r="BC211" s="420">
        <f>AW211+AX211</f>
        <v>0</v>
      </c>
      <c r="BD211" s="420">
        <f>H211/(100-BE211)*100</f>
        <v>0</v>
      </c>
      <c r="BE211" s="420">
        <v>0</v>
      </c>
      <c r="BF211" s="420">
        <f>M211</f>
        <v>0</v>
      </c>
      <c r="BH211" s="420">
        <f>G211*AO211</f>
        <v>0</v>
      </c>
      <c r="BI211" s="420">
        <f>G211*AP211</f>
        <v>0</v>
      </c>
      <c r="BJ211" s="420">
        <f>G211*H211</f>
        <v>0</v>
      </c>
      <c r="BK211" s="420"/>
      <c r="BL211" s="420">
        <v>85</v>
      </c>
    </row>
    <row r="212" spans="1:64" ht="15" customHeight="1">
      <c r="A212" s="423"/>
      <c r="D212" s="424" t="s">
        <v>1283</v>
      </c>
      <c r="E212" s="424" t="s">
        <v>654</v>
      </c>
      <c r="G212" s="425">
        <v>2</v>
      </c>
      <c r="N212" s="426"/>
    </row>
    <row r="213" spans="1:64" ht="15" customHeight="1">
      <c r="A213" s="423"/>
      <c r="D213" s="424" t="s">
        <v>1284</v>
      </c>
      <c r="E213" s="424" t="s">
        <v>654</v>
      </c>
      <c r="G213" s="425">
        <v>2</v>
      </c>
      <c r="N213" s="426"/>
    </row>
    <row r="214" spans="1:64" ht="15" customHeight="1">
      <c r="A214" s="401" t="s">
        <v>975</v>
      </c>
      <c r="B214" s="402" t="s">
        <v>654</v>
      </c>
      <c r="C214" s="402" t="s">
        <v>1285</v>
      </c>
      <c r="D214" s="440" t="s">
        <v>1286</v>
      </c>
      <c r="E214" s="440"/>
      <c r="F214" s="402" t="s">
        <v>14</v>
      </c>
      <c r="G214" s="420">
        <v>2</v>
      </c>
      <c r="H214" s="420"/>
      <c r="I214" s="420">
        <f>G214*AO214</f>
        <v>0</v>
      </c>
      <c r="J214" s="420">
        <f>G214*AP214</f>
        <v>0</v>
      </c>
      <c r="K214" s="420">
        <f>G214*H214</f>
        <v>0</v>
      </c>
      <c r="L214" s="420">
        <v>0</v>
      </c>
      <c r="M214" s="420">
        <f>G214*L214</f>
        <v>0</v>
      </c>
      <c r="N214" s="421" t="s">
        <v>654</v>
      </c>
      <c r="Z214" s="420">
        <f>IF(AQ214="5",BJ214,0)</f>
        <v>0</v>
      </c>
      <c r="AB214" s="420">
        <f>IF(AQ214="1",BH214,0)</f>
        <v>0</v>
      </c>
      <c r="AC214" s="420">
        <f>IF(AQ214="1",BI214,0)</f>
        <v>0</v>
      </c>
      <c r="AD214" s="420">
        <f>IF(AQ214="7",BH214,0)</f>
        <v>0</v>
      </c>
      <c r="AE214" s="420">
        <f>IF(AQ214="7",BI214,0)</f>
        <v>0</v>
      </c>
      <c r="AF214" s="420">
        <f>IF(AQ214="2",BH214,0)</f>
        <v>0</v>
      </c>
      <c r="AG214" s="420">
        <f>IF(AQ214="2",BI214,0)</f>
        <v>0</v>
      </c>
      <c r="AH214" s="420">
        <f>IF(AQ214="0",BJ214,0)</f>
        <v>0</v>
      </c>
      <c r="AI214" s="408" t="s">
        <v>654</v>
      </c>
      <c r="AJ214" s="420">
        <f>IF(AN214=0,K214,0)</f>
        <v>0</v>
      </c>
      <c r="AK214" s="420">
        <f>IF(AN214=15,K214,0)</f>
        <v>0</v>
      </c>
      <c r="AL214" s="420">
        <f>IF(AN214=21,K214,0)</f>
        <v>0</v>
      </c>
      <c r="AN214" s="420">
        <v>21</v>
      </c>
      <c r="AO214" s="420">
        <f>H214*1</f>
        <v>0</v>
      </c>
      <c r="AP214" s="420">
        <f>H214*(1-1)</f>
        <v>0</v>
      </c>
      <c r="AQ214" s="422" t="s">
        <v>657</v>
      </c>
      <c r="AV214" s="420">
        <f>AW214+AX214</f>
        <v>0</v>
      </c>
      <c r="AW214" s="420">
        <f>G214*AO214</f>
        <v>0</v>
      </c>
      <c r="AX214" s="420">
        <f>G214*AP214</f>
        <v>0</v>
      </c>
      <c r="AY214" s="422" t="s">
        <v>890</v>
      </c>
      <c r="AZ214" s="422" t="s">
        <v>891</v>
      </c>
      <c r="BA214" s="408" t="s">
        <v>662</v>
      </c>
      <c r="BC214" s="420">
        <f>AW214+AX214</f>
        <v>0</v>
      </c>
      <c r="BD214" s="420">
        <f>H214/(100-BE214)*100</f>
        <v>0</v>
      </c>
      <c r="BE214" s="420">
        <v>0</v>
      </c>
      <c r="BF214" s="420">
        <f>M214</f>
        <v>0</v>
      </c>
      <c r="BH214" s="420">
        <f>G214*AO214</f>
        <v>0</v>
      </c>
      <c r="BI214" s="420">
        <f>G214*AP214</f>
        <v>0</v>
      </c>
      <c r="BJ214" s="420">
        <f>G214*H214</f>
        <v>0</v>
      </c>
      <c r="BK214" s="420"/>
      <c r="BL214" s="420">
        <v>85</v>
      </c>
    </row>
    <row r="215" spans="1:64" ht="15" customHeight="1">
      <c r="A215" s="401" t="s">
        <v>981</v>
      </c>
      <c r="B215" s="402" t="s">
        <v>654</v>
      </c>
      <c r="C215" s="402" t="s">
        <v>1287</v>
      </c>
      <c r="D215" s="440" t="s">
        <v>1288</v>
      </c>
      <c r="E215" s="440"/>
      <c r="F215" s="402" t="s">
        <v>14</v>
      </c>
      <c r="G215" s="420">
        <v>2</v>
      </c>
      <c r="H215" s="420"/>
      <c r="I215" s="420">
        <f>G215*AO215</f>
        <v>0</v>
      </c>
      <c r="J215" s="420">
        <f>G215*AP215</f>
        <v>0</v>
      </c>
      <c r="K215" s="420">
        <f>G215*H215</f>
        <v>0</v>
      </c>
      <c r="L215" s="420">
        <v>0</v>
      </c>
      <c r="M215" s="420">
        <f>G215*L215</f>
        <v>0</v>
      </c>
      <c r="N215" s="421" t="s">
        <v>654</v>
      </c>
      <c r="Z215" s="420">
        <f>IF(AQ215="5",BJ215,0)</f>
        <v>0</v>
      </c>
      <c r="AB215" s="420">
        <f>IF(AQ215="1",BH215,0)</f>
        <v>0</v>
      </c>
      <c r="AC215" s="420">
        <f>IF(AQ215="1",BI215,0)</f>
        <v>0</v>
      </c>
      <c r="AD215" s="420">
        <f>IF(AQ215="7",BH215,0)</f>
        <v>0</v>
      </c>
      <c r="AE215" s="420">
        <f>IF(AQ215="7",BI215,0)</f>
        <v>0</v>
      </c>
      <c r="AF215" s="420">
        <f>IF(AQ215="2",BH215,0)</f>
        <v>0</v>
      </c>
      <c r="AG215" s="420">
        <f>IF(AQ215="2",BI215,0)</f>
        <v>0</v>
      </c>
      <c r="AH215" s="420">
        <f>IF(AQ215="0",BJ215,0)</f>
        <v>0</v>
      </c>
      <c r="AI215" s="408" t="s">
        <v>654</v>
      </c>
      <c r="AJ215" s="420">
        <f>IF(AN215=0,K215,0)</f>
        <v>0</v>
      </c>
      <c r="AK215" s="420">
        <f>IF(AN215=15,K215,0)</f>
        <v>0</v>
      </c>
      <c r="AL215" s="420">
        <f>IF(AN215=21,K215,0)</f>
        <v>0</v>
      </c>
      <c r="AN215" s="420">
        <v>21</v>
      </c>
      <c r="AO215" s="420">
        <f>H215*1</f>
        <v>0</v>
      </c>
      <c r="AP215" s="420">
        <f>H215*(1-1)</f>
        <v>0</v>
      </c>
      <c r="AQ215" s="422" t="s">
        <v>657</v>
      </c>
      <c r="AV215" s="420">
        <f>AW215+AX215</f>
        <v>0</v>
      </c>
      <c r="AW215" s="420">
        <f>G215*AO215</f>
        <v>0</v>
      </c>
      <c r="AX215" s="420">
        <f>G215*AP215</f>
        <v>0</v>
      </c>
      <c r="AY215" s="422" t="s">
        <v>890</v>
      </c>
      <c r="AZ215" s="422" t="s">
        <v>891</v>
      </c>
      <c r="BA215" s="408" t="s">
        <v>662</v>
      </c>
      <c r="BC215" s="420">
        <f>AW215+AX215</f>
        <v>0</v>
      </c>
      <c r="BD215" s="420">
        <f>H215/(100-BE215)*100</f>
        <v>0</v>
      </c>
      <c r="BE215" s="420">
        <v>0</v>
      </c>
      <c r="BF215" s="420">
        <f>M215</f>
        <v>0</v>
      </c>
      <c r="BH215" s="420">
        <f>G215*AO215</f>
        <v>0</v>
      </c>
      <c r="BI215" s="420">
        <f>G215*AP215</f>
        <v>0</v>
      </c>
      <c r="BJ215" s="420">
        <f>G215*H215</f>
        <v>0</v>
      </c>
      <c r="BK215" s="420"/>
      <c r="BL215" s="420">
        <v>85</v>
      </c>
    </row>
    <row r="216" spans="1:64" ht="15" customHeight="1">
      <c r="A216" s="416" t="s">
        <v>654</v>
      </c>
      <c r="B216" s="417" t="s">
        <v>654</v>
      </c>
      <c r="C216" s="417" t="s">
        <v>938</v>
      </c>
      <c r="D216" s="455" t="s">
        <v>939</v>
      </c>
      <c r="E216" s="455"/>
      <c r="F216" s="418" t="s">
        <v>608</v>
      </c>
      <c r="G216" s="418" t="s">
        <v>608</v>
      </c>
      <c r="H216" s="418"/>
      <c r="I216" s="400">
        <f>SUM(I217:I232)</f>
        <v>0</v>
      </c>
      <c r="J216" s="400">
        <f>SUM(J217:J232)</f>
        <v>0</v>
      </c>
      <c r="K216" s="400">
        <f>SUM(K217:K232)</f>
        <v>0</v>
      </c>
      <c r="L216" s="408" t="s">
        <v>654</v>
      </c>
      <c r="M216" s="400">
        <f>SUM(M217:M232)</f>
        <v>0.36198749999999996</v>
      </c>
      <c r="N216" s="419" t="s">
        <v>654</v>
      </c>
      <c r="AI216" s="408" t="s">
        <v>654</v>
      </c>
      <c r="AS216" s="400">
        <f>SUM(AJ217:AJ232)</f>
        <v>0</v>
      </c>
      <c r="AT216" s="400">
        <f>SUM(AK217:AK232)</f>
        <v>0</v>
      </c>
      <c r="AU216" s="400">
        <f>SUM(AL217:AL232)</f>
        <v>0</v>
      </c>
    </row>
    <row r="217" spans="1:64" ht="15" customHeight="1">
      <c r="A217" s="401" t="s">
        <v>985</v>
      </c>
      <c r="B217" s="402" t="s">
        <v>654</v>
      </c>
      <c r="C217" s="402" t="s">
        <v>951</v>
      </c>
      <c r="D217" s="440" t="s">
        <v>952</v>
      </c>
      <c r="E217" s="440"/>
      <c r="F217" s="402" t="s">
        <v>7</v>
      </c>
      <c r="G217" s="420">
        <v>137.9</v>
      </c>
      <c r="H217" s="420"/>
      <c r="I217" s="420">
        <f>G217*AO217</f>
        <v>0</v>
      </c>
      <c r="J217" s="420">
        <f>G217*AP217</f>
        <v>0</v>
      </c>
      <c r="K217" s="420">
        <f>G217*H217</f>
        <v>0</v>
      </c>
      <c r="L217" s="420">
        <v>0</v>
      </c>
      <c r="M217" s="420">
        <f>G217*L217</f>
        <v>0</v>
      </c>
      <c r="N217" s="421" t="s">
        <v>1358</v>
      </c>
      <c r="Z217" s="420">
        <f>IF(AQ217="5",BJ217,0)</f>
        <v>0</v>
      </c>
      <c r="AB217" s="420">
        <f>IF(AQ217="1",BH217,0)</f>
        <v>0</v>
      </c>
      <c r="AC217" s="420">
        <f>IF(AQ217="1",BI217,0)</f>
        <v>0</v>
      </c>
      <c r="AD217" s="420">
        <f>IF(AQ217="7",BH217,0)</f>
        <v>0</v>
      </c>
      <c r="AE217" s="420">
        <f>IF(AQ217="7",BI217,0)</f>
        <v>0</v>
      </c>
      <c r="AF217" s="420">
        <f>IF(AQ217="2",BH217,0)</f>
        <v>0</v>
      </c>
      <c r="AG217" s="420">
        <f>IF(AQ217="2",BI217,0)</f>
        <v>0</v>
      </c>
      <c r="AH217" s="420">
        <f>IF(AQ217="0",BJ217,0)</f>
        <v>0</v>
      </c>
      <c r="AI217" s="408" t="s">
        <v>654</v>
      </c>
      <c r="AJ217" s="420">
        <f>IF(AN217=0,K217,0)</f>
        <v>0</v>
      </c>
      <c r="AK217" s="420">
        <f>IF(AN217=15,K217,0)</f>
        <v>0</v>
      </c>
      <c r="AL217" s="420">
        <f>IF(AN217=21,K217,0)</f>
        <v>0</v>
      </c>
      <c r="AN217" s="420">
        <v>21</v>
      </c>
      <c r="AO217" s="420">
        <f>H217*0</f>
        <v>0</v>
      </c>
      <c r="AP217" s="420">
        <f>H217*(1-0)</f>
        <v>0</v>
      </c>
      <c r="AQ217" s="422" t="s">
        <v>657</v>
      </c>
      <c r="AV217" s="420">
        <f>AW217+AX217</f>
        <v>0</v>
      </c>
      <c r="AW217" s="420">
        <f>G217*AO217</f>
        <v>0</v>
      </c>
      <c r="AX217" s="420">
        <f>G217*AP217</f>
        <v>0</v>
      </c>
      <c r="AY217" s="422" t="s">
        <v>943</v>
      </c>
      <c r="AZ217" s="422" t="s">
        <v>891</v>
      </c>
      <c r="BA217" s="408" t="s">
        <v>662</v>
      </c>
      <c r="BC217" s="420">
        <f>AW217+AX217</f>
        <v>0</v>
      </c>
      <c r="BD217" s="420">
        <f>H217/(100-BE217)*100</f>
        <v>0</v>
      </c>
      <c r="BE217" s="420">
        <v>0</v>
      </c>
      <c r="BF217" s="420">
        <f>M217</f>
        <v>0</v>
      </c>
      <c r="BH217" s="420">
        <f>G217*AO217</f>
        <v>0</v>
      </c>
      <c r="BI217" s="420">
        <f>G217*AP217</f>
        <v>0</v>
      </c>
      <c r="BJ217" s="420">
        <f>G217*H217</f>
        <v>0</v>
      </c>
      <c r="BK217" s="420"/>
      <c r="BL217" s="420">
        <v>87</v>
      </c>
    </row>
    <row r="218" spans="1:64" ht="15" customHeight="1">
      <c r="A218" s="423"/>
      <c r="D218" s="424" t="s">
        <v>1100</v>
      </c>
      <c r="E218" s="424" t="s">
        <v>654</v>
      </c>
      <c r="G218" s="425">
        <v>137.9</v>
      </c>
      <c r="N218" s="426"/>
    </row>
    <row r="219" spans="1:64" ht="15" customHeight="1">
      <c r="A219" s="401" t="s">
        <v>990</v>
      </c>
      <c r="B219" s="402" t="s">
        <v>654</v>
      </c>
      <c r="C219" s="402" t="s">
        <v>1289</v>
      </c>
      <c r="D219" s="440" t="s">
        <v>1290</v>
      </c>
      <c r="E219" s="440"/>
      <c r="F219" s="402" t="s">
        <v>7</v>
      </c>
      <c r="G219" s="420">
        <v>144.79499999999999</v>
      </c>
      <c r="H219" s="420"/>
      <c r="I219" s="420">
        <f>G219*AO219</f>
        <v>0</v>
      </c>
      <c r="J219" s="420">
        <f>G219*AP219</f>
        <v>0</v>
      </c>
      <c r="K219" s="420">
        <f>G219*H219</f>
        <v>0</v>
      </c>
      <c r="L219" s="420">
        <v>2.1700000000000001E-3</v>
      </c>
      <c r="M219" s="420">
        <f>G219*L219</f>
        <v>0.31420514999999999</v>
      </c>
      <c r="N219" s="421" t="s">
        <v>1358</v>
      </c>
      <c r="Z219" s="420">
        <f>IF(AQ219="5",BJ219,0)</f>
        <v>0</v>
      </c>
      <c r="AB219" s="420">
        <f>IF(AQ219="1",BH219,0)</f>
        <v>0</v>
      </c>
      <c r="AC219" s="420">
        <f>IF(AQ219="1",BI219,0)</f>
        <v>0</v>
      </c>
      <c r="AD219" s="420">
        <f>IF(AQ219="7",BH219,0)</f>
        <v>0</v>
      </c>
      <c r="AE219" s="420">
        <f>IF(AQ219="7",BI219,0)</f>
        <v>0</v>
      </c>
      <c r="AF219" s="420">
        <f>IF(AQ219="2",BH219,0)</f>
        <v>0</v>
      </c>
      <c r="AG219" s="420">
        <f>IF(AQ219="2",BI219,0)</f>
        <v>0</v>
      </c>
      <c r="AH219" s="420">
        <f>IF(AQ219="0",BJ219,0)</f>
        <v>0</v>
      </c>
      <c r="AI219" s="408" t="s">
        <v>654</v>
      </c>
      <c r="AJ219" s="420">
        <f>IF(AN219=0,K219,0)</f>
        <v>0</v>
      </c>
      <c r="AK219" s="420">
        <f>IF(AN219=15,K219,0)</f>
        <v>0</v>
      </c>
      <c r="AL219" s="420">
        <f>IF(AN219=21,K219,0)</f>
        <v>0</v>
      </c>
      <c r="AN219" s="420">
        <v>21</v>
      </c>
      <c r="AO219" s="420">
        <f>H219*1</f>
        <v>0</v>
      </c>
      <c r="AP219" s="420">
        <f>H219*(1-1)</f>
        <v>0</v>
      </c>
      <c r="AQ219" s="422" t="s">
        <v>657</v>
      </c>
      <c r="AV219" s="420">
        <f>AW219+AX219</f>
        <v>0</v>
      </c>
      <c r="AW219" s="420">
        <f>G219*AO219</f>
        <v>0</v>
      </c>
      <c r="AX219" s="420">
        <f>G219*AP219</f>
        <v>0</v>
      </c>
      <c r="AY219" s="422" t="s">
        <v>943</v>
      </c>
      <c r="AZ219" s="422" t="s">
        <v>891</v>
      </c>
      <c r="BA219" s="408" t="s">
        <v>662</v>
      </c>
      <c r="BC219" s="420">
        <f>AW219+AX219</f>
        <v>0</v>
      </c>
      <c r="BD219" s="420">
        <f>H219/(100-BE219)*100</f>
        <v>0</v>
      </c>
      <c r="BE219" s="420">
        <v>0</v>
      </c>
      <c r="BF219" s="420">
        <f>M219</f>
        <v>0.31420514999999999</v>
      </c>
      <c r="BH219" s="420">
        <f>G219*AO219</f>
        <v>0</v>
      </c>
      <c r="BI219" s="420">
        <f>G219*AP219</f>
        <v>0</v>
      </c>
      <c r="BJ219" s="420">
        <f>G219*H219</f>
        <v>0</v>
      </c>
      <c r="BK219" s="420"/>
      <c r="BL219" s="420">
        <v>87</v>
      </c>
    </row>
    <row r="220" spans="1:64" ht="15" customHeight="1">
      <c r="A220" s="423"/>
      <c r="D220" s="424" t="s">
        <v>1291</v>
      </c>
      <c r="E220" s="424" t="s">
        <v>654</v>
      </c>
      <c r="G220" s="425">
        <v>144.79500000000002</v>
      </c>
      <c r="N220" s="426"/>
    </row>
    <row r="221" spans="1:64" ht="15" customHeight="1">
      <c r="A221" s="401" t="s">
        <v>994</v>
      </c>
      <c r="B221" s="402" t="s">
        <v>654</v>
      </c>
      <c r="C221" s="402" t="s">
        <v>963</v>
      </c>
      <c r="D221" s="440" t="s">
        <v>964</v>
      </c>
      <c r="E221" s="440"/>
      <c r="F221" s="402" t="s">
        <v>7</v>
      </c>
      <c r="G221" s="420">
        <v>137.9</v>
      </c>
      <c r="H221" s="420"/>
      <c r="I221" s="420">
        <f>G221*AO221</f>
        <v>0</v>
      </c>
      <c r="J221" s="420">
        <f>G221*AP221</f>
        <v>0</v>
      </c>
      <c r="K221" s="420">
        <f>G221*H221</f>
        <v>0</v>
      </c>
      <c r="L221" s="420">
        <v>0</v>
      </c>
      <c r="M221" s="420">
        <f>G221*L221</f>
        <v>0</v>
      </c>
      <c r="N221" s="421" t="s">
        <v>1358</v>
      </c>
      <c r="Z221" s="420">
        <f>IF(AQ221="5",BJ221,0)</f>
        <v>0</v>
      </c>
      <c r="AB221" s="420">
        <f>IF(AQ221="1",BH221,0)</f>
        <v>0</v>
      </c>
      <c r="AC221" s="420">
        <f>IF(AQ221="1",BI221,0)</f>
        <v>0</v>
      </c>
      <c r="AD221" s="420">
        <f>IF(AQ221="7",BH221,0)</f>
        <v>0</v>
      </c>
      <c r="AE221" s="420">
        <f>IF(AQ221="7",BI221,0)</f>
        <v>0</v>
      </c>
      <c r="AF221" s="420">
        <f>IF(AQ221="2",BH221,0)</f>
        <v>0</v>
      </c>
      <c r="AG221" s="420">
        <f>IF(AQ221="2",BI221,0)</f>
        <v>0</v>
      </c>
      <c r="AH221" s="420">
        <f>IF(AQ221="0",BJ221,0)</f>
        <v>0</v>
      </c>
      <c r="AI221" s="408" t="s">
        <v>654</v>
      </c>
      <c r="AJ221" s="420">
        <f>IF(AN221=0,K221,0)</f>
        <v>0</v>
      </c>
      <c r="AK221" s="420">
        <f>IF(AN221=15,K221,0)</f>
        <v>0</v>
      </c>
      <c r="AL221" s="420">
        <f>IF(AN221=21,K221,0)</f>
        <v>0</v>
      </c>
      <c r="AN221" s="420">
        <v>21</v>
      </c>
      <c r="AO221" s="420">
        <f>H221*0</f>
        <v>0</v>
      </c>
      <c r="AP221" s="420">
        <f>H221*(1-0)</f>
        <v>0</v>
      </c>
      <c r="AQ221" s="422" t="s">
        <v>657</v>
      </c>
      <c r="AV221" s="420">
        <f>AW221+AX221</f>
        <v>0</v>
      </c>
      <c r="AW221" s="420">
        <f>G221*AO221</f>
        <v>0</v>
      </c>
      <c r="AX221" s="420">
        <f>G221*AP221</f>
        <v>0</v>
      </c>
      <c r="AY221" s="422" t="s">
        <v>943</v>
      </c>
      <c r="AZ221" s="422" t="s">
        <v>891</v>
      </c>
      <c r="BA221" s="408" t="s">
        <v>662</v>
      </c>
      <c r="BC221" s="420">
        <f>AW221+AX221</f>
        <v>0</v>
      </c>
      <c r="BD221" s="420">
        <f>H221/(100-BE221)*100</f>
        <v>0</v>
      </c>
      <c r="BE221" s="420">
        <v>0</v>
      </c>
      <c r="BF221" s="420">
        <f>M221</f>
        <v>0</v>
      </c>
      <c r="BH221" s="420">
        <f>G221*AO221</f>
        <v>0</v>
      </c>
      <c r="BI221" s="420">
        <f>G221*AP221</f>
        <v>0</v>
      </c>
      <c r="BJ221" s="420">
        <f>G221*H221</f>
        <v>0</v>
      </c>
      <c r="BK221" s="420"/>
      <c r="BL221" s="420">
        <v>87</v>
      </c>
    </row>
    <row r="222" spans="1:64" ht="15" customHeight="1">
      <c r="A222" s="423"/>
      <c r="D222" s="424" t="s">
        <v>1292</v>
      </c>
      <c r="E222" s="424" t="s">
        <v>654</v>
      </c>
      <c r="G222" s="425">
        <v>137.9</v>
      </c>
      <c r="N222" s="426"/>
    </row>
    <row r="223" spans="1:64" ht="15" customHeight="1">
      <c r="A223" s="401" t="s">
        <v>885</v>
      </c>
      <c r="B223" s="402" t="s">
        <v>654</v>
      </c>
      <c r="C223" s="402" t="s">
        <v>967</v>
      </c>
      <c r="D223" s="440" t="s">
        <v>968</v>
      </c>
      <c r="E223" s="440"/>
      <c r="F223" s="402" t="s">
        <v>7</v>
      </c>
      <c r="G223" s="420">
        <v>144.79499999999999</v>
      </c>
      <c r="H223" s="420"/>
      <c r="I223" s="420">
        <f>G223*AO223</f>
        <v>0</v>
      </c>
      <c r="J223" s="420">
        <f>G223*AP223</f>
        <v>0</v>
      </c>
      <c r="K223" s="420">
        <f>G223*H223</f>
        <v>0</v>
      </c>
      <c r="L223" s="420">
        <v>2.3000000000000001E-4</v>
      </c>
      <c r="M223" s="420">
        <f>G223*L223</f>
        <v>3.3302849999999995E-2</v>
      </c>
      <c r="N223" s="421" t="s">
        <v>1358</v>
      </c>
      <c r="Z223" s="420">
        <f>IF(AQ223="5",BJ223,0)</f>
        <v>0</v>
      </c>
      <c r="AB223" s="420">
        <f>IF(AQ223="1",BH223,0)</f>
        <v>0</v>
      </c>
      <c r="AC223" s="420">
        <f>IF(AQ223="1",BI223,0)</f>
        <v>0</v>
      </c>
      <c r="AD223" s="420">
        <f>IF(AQ223="7",BH223,0)</f>
        <v>0</v>
      </c>
      <c r="AE223" s="420">
        <f>IF(AQ223="7",BI223,0)</f>
        <v>0</v>
      </c>
      <c r="AF223" s="420">
        <f>IF(AQ223="2",BH223,0)</f>
        <v>0</v>
      </c>
      <c r="AG223" s="420">
        <f>IF(AQ223="2",BI223,0)</f>
        <v>0</v>
      </c>
      <c r="AH223" s="420">
        <f>IF(AQ223="0",BJ223,0)</f>
        <v>0</v>
      </c>
      <c r="AI223" s="408" t="s">
        <v>654</v>
      </c>
      <c r="AJ223" s="420">
        <f>IF(AN223=0,K223,0)</f>
        <v>0</v>
      </c>
      <c r="AK223" s="420">
        <f>IF(AN223=15,K223,0)</f>
        <v>0</v>
      </c>
      <c r="AL223" s="420">
        <f>IF(AN223=21,K223,0)</f>
        <v>0</v>
      </c>
      <c r="AN223" s="420">
        <v>21</v>
      </c>
      <c r="AO223" s="420">
        <f>H223*1</f>
        <v>0</v>
      </c>
      <c r="AP223" s="420">
        <f>H223*(1-1)</f>
        <v>0</v>
      </c>
      <c r="AQ223" s="422" t="s">
        <v>657</v>
      </c>
      <c r="AV223" s="420">
        <f>AW223+AX223</f>
        <v>0</v>
      </c>
      <c r="AW223" s="420">
        <f>G223*AO223</f>
        <v>0</v>
      </c>
      <c r="AX223" s="420">
        <f>G223*AP223</f>
        <v>0</v>
      </c>
      <c r="AY223" s="422" t="s">
        <v>943</v>
      </c>
      <c r="AZ223" s="422" t="s">
        <v>891</v>
      </c>
      <c r="BA223" s="408" t="s">
        <v>662</v>
      </c>
      <c r="BC223" s="420">
        <f>AW223+AX223</f>
        <v>0</v>
      </c>
      <c r="BD223" s="420">
        <f>H223/(100-BE223)*100</f>
        <v>0</v>
      </c>
      <c r="BE223" s="420">
        <v>0</v>
      </c>
      <c r="BF223" s="420">
        <f>M223</f>
        <v>3.3302849999999995E-2</v>
      </c>
      <c r="BH223" s="420">
        <f>G223*AO223</f>
        <v>0</v>
      </c>
      <c r="BI223" s="420">
        <f>G223*AP223</f>
        <v>0</v>
      </c>
      <c r="BJ223" s="420">
        <f>G223*H223</f>
        <v>0</v>
      </c>
      <c r="BK223" s="420"/>
      <c r="BL223" s="420">
        <v>87</v>
      </c>
    </row>
    <row r="224" spans="1:64" ht="15" customHeight="1">
      <c r="A224" s="423"/>
      <c r="D224" s="424" t="s">
        <v>1291</v>
      </c>
      <c r="E224" s="424" t="s">
        <v>654</v>
      </c>
      <c r="G224" s="425">
        <v>144.79500000000002</v>
      </c>
      <c r="N224" s="426"/>
    </row>
    <row r="225" spans="1:64" ht="15" customHeight="1">
      <c r="A225" s="401" t="s">
        <v>1001</v>
      </c>
      <c r="B225" s="402" t="s">
        <v>654</v>
      </c>
      <c r="C225" s="402" t="s">
        <v>970</v>
      </c>
      <c r="D225" s="440" t="s">
        <v>971</v>
      </c>
      <c r="E225" s="440"/>
      <c r="F225" s="402" t="s">
        <v>7</v>
      </c>
      <c r="G225" s="420">
        <v>144.79499999999999</v>
      </c>
      <c r="H225" s="420"/>
      <c r="I225" s="420">
        <f>G225*AO225</f>
        <v>0</v>
      </c>
      <c r="J225" s="420">
        <f>G225*AP225</f>
        <v>0</v>
      </c>
      <c r="K225" s="420">
        <f>G225*H225</f>
        <v>0</v>
      </c>
      <c r="L225" s="420">
        <v>1E-4</v>
      </c>
      <c r="M225" s="420">
        <f>G225*L225</f>
        <v>1.4479499999999999E-2</v>
      </c>
      <c r="N225" s="421" t="s">
        <v>654</v>
      </c>
      <c r="Z225" s="420">
        <f>IF(AQ225="5",BJ225,0)</f>
        <v>0</v>
      </c>
      <c r="AB225" s="420">
        <f>IF(AQ225="1",BH225,0)</f>
        <v>0</v>
      </c>
      <c r="AC225" s="420">
        <f>IF(AQ225="1",BI225,0)</f>
        <v>0</v>
      </c>
      <c r="AD225" s="420">
        <f>IF(AQ225="7",BH225,0)</f>
        <v>0</v>
      </c>
      <c r="AE225" s="420">
        <f>IF(AQ225="7",BI225,0)</f>
        <v>0</v>
      </c>
      <c r="AF225" s="420">
        <f>IF(AQ225="2",BH225,0)</f>
        <v>0</v>
      </c>
      <c r="AG225" s="420">
        <f>IF(AQ225="2",BI225,0)</f>
        <v>0</v>
      </c>
      <c r="AH225" s="420">
        <f>IF(AQ225="0",BJ225,0)</f>
        <v>0</v>
      </c>
      <c r="AI225" s="408" t="s">
        <v>654</v>
      </c>
      <c r="AJ225" s="420">
        <f>IF(AN225=0,K225,0)</f>
        <v>0</v>
      </c>
      <c r="AK225" s="420">
        <f>IF(AN225=15,K225,0)</f>
        <v>0</v>
      </c>
      <c r="AL225" s="420">
        <f>IF(AN225=21,K225,0)</f>
        <v>0</v>
      </c>
      <c r="AN225" s="420">
        <v>21</v>
      </c>
      <c r="AO225" s="420">
        <f>H225*1</f>
        <v>0</v>
      </c>
      <c r="AP225" s="420">
        <f>H225*(1-1)</f>
        <v>0</v>
      </c>
      <c r="AQ225" s="422" t="s">
        <v>657</v>
      </c>
      <c r="AV225" s="420">
        <f>AW225+AX225</f>
        <v>0</v>
      </c>
      <c r="AW225" s="420">
        <f>G225*AO225</f>
        <v>0</v>
      </c>
      <c r="AX225" s="420">
        <f>G225*AP225</f>
        <v>0</v>
      </c>
      <c r="AY225" s="422" t="s">
        <v>943</v>
      </c>
      <c r="AZ225" s="422" t="s">
        <v>891</v>
      </c>
      <c r="BA225" s="408" t="s">
        <v>662</v>
      </c>
      <c r="BC225" s="420">
        <f>AW225+AX225</f>
        <v>0</v>
      </c>
      <c r="BD225" s="420">
        <f>H225/(100-BE225)*100</f>
        <v>0</v>
      </c>
      <c r="BE225" s="420">
        <v>0</v>
      </c>
      <c r="BF225" s="420">
        <f>M225</f>
        <v>1.4479499999999999E-2</v>
      </c>
      <c r="BH225" s="420">
        <f>G225*AO225</f>
        <v>0</v>
      </c>
      <c r="BI225" s="420">
        <f>G225*AP225</f>
        <v>0</v>
      </c>
      <c r="BJ225" s="420">
        <f>G225*H225</f>
        <v>0</v>
      </c>
      <c r="BK225" s="420"/>
      <c r="BL225" s="420">
        <v>87</v>
      </c>
    </row>
    <row r="226" spans="1:64" ht="15" customHeight="1">
      <c r="A226" s="423"/>
      <c r="D226" s="424" t="s">
        <v>1293</v>
      </c>
      <c r="E226" s="424" t="s">
        <v>654</v>
      </c>
      <c r="G226" s="425">
        <v>144.79500000000002</v>
      </c>
      <c r="N226" s="426"/>
    </row>
    <row r="227" spans="1:64" ht="15" customHeight="1">
      <c r="A227" s="401" t="s">
        <v>938</v>
      </c>
      <c r="B227" s="402" t="s">
        <v>654</v>
      </c>
      <c r="C227" s="402" t="s">
        <v>973</v>
      </c>
      <c r="D227" s="440" t="s">
        <v>974</v>
      </c>
      <c r="E227" s="440"/>
      <c r="F227" s="402" t="s">
        <v>7</v>
      </c>
      <c r="G227" s="420">
        <v>289.58999999999997</v>
      </c>
      <c r="H227" s="420"/>
      <c r="I227" s="420">
        <f>G227*AO227</f>
        <v>0</v>
      </c>
      <c r="J227" s="420">
        <f>G227*AP227</f>
        <v>0</v>
      </c>
      <c r="K227" s="420">
        <f>G227*H227</f>
        <v>0</v>
      </c>
      <c r="L227" s="420">
        <v>0</v>
      </c>
      <c r="M227" s="420">
        <f>G227*L227</f>
        <v>0</v>
      </c>
      <c r="N227" s="421" t="s">
        <v>1358</v>
      </c>
      <c r="Z227" s="420">
        <f>IF(AQ227="5",BJ227,0)</f>
        <v>0</v>
      </c>
      <c r="AB227" s="420">
        <f>IF(AQ227="1",BH227,0)</f>
        <v>0</v>
      </c>
      <c r="AC227" s="420">
        <f>IF(AQ227="1",BI227,0)</f>
        <v>0</v>
      </c>
      <c r="AD227" s="420">
        <f>IF(AQ227="7",BH227,0)</f>
        <v>0</v>
      </c>
      <c r="AE227" s="420">
        <f>IF(AQ227="7",BI227,0)</f>
        <v>0</v>
      </c>
      <c r="AF227" s="420">
        <f>IF(AQ227="2",BH227,0)</f>
        <v>0</v>
      </c>
      <c r="AG227" s="420">
        <f>IF(AQ227="2",BI227,0)</f>
        <v>0</v>
      </c>
      <c r="AH227" s="420">
        <f>IF(AQ227="0",BJ227,0)</f>
        <v>0</v>
      </c>
      <c r="AI227" s="408" t="s">
        <v>654</v>
      </c>
      <c r="AJ227" s="420">
        <f>IF(AN227=0,K227,0)</f>
        <v>0</v>
      </c>
      <c r="AK227" s="420">
        <f>IF(AN227=15,K227,0)</f>
        <v>0</v>
      </c>
      <c r="AL227" s="420">
        <f>IF(AN227=21,K227,0)</f>
        <v>0</v>
      </c>
      <c r="AN227" s="420">
        <v>21</v>
      </c>
      <c r="AO227" s="420">
        <f>H227*0.322423905036164</f>
        <v>0</v>
      </c>
      <c r="AP227" s="420">
        <f>H227*(1-0.322423905036164)</f>
        <v>0</v>
      </c>
      <c r="AQ227" s="422" t="s">
        <v>657</v>
      </c>
      <c r="AV227" s="420">
        <f>AW227+AX227</f>
        <v>0</v>
      </c>
      <c r="AW227" s="420">
        <f>G227*AO227</f>
        <v>0</v>
      </c>
      <c r="AX227" s="420">
        <f>G227*AP227</f>
        <v>0</v>
      </c>
      <c r="AY227" s="422" t="s">
        <v>943</v>
      </c>
      <c r="AZ227" s="422" t="s">
        <v>891</v>
      </c>
      <c r="BA227" s="408" t="s">
        <v>662</v>
      </c>
      <c r="BC227" s="420">
        <f>AW227+AX227</f>
        <v>0</v>
      </c>
      <c r="BD227" s="420">
        <f>H227/(100-BE227)*100</f>
        <v>0</v>
      </c>
      <c r="BE227" s="420">
        <v>0</v>
      </c>
      <c r="BF227" s="420">
        <f>M227</f>
        <v>0</v>
      </c>
      <c r="BH227" s="420">
        <f>G227*AO227</f>
        <v>0</v>
      </c>
      <c r="BI227" s="420">
        <f>G227*AP227</f>
        <v>0</v>
      </c>
      <c r="BJ227" s="420">
        <f>G227*H227</f>
        <v>0</v>
      </c>
      <c r="BK227" s="420"/>
      <c r="BL227" s="420">
        <v>87</v>
      </c>
    </row>
    <row r="228" spans="1:64" ht="15" customHeight="1">
      <c r="A228" s="423"/>
      <c r="D228" s="424" t="s">
        <v>1294</v>
      </c>
      <c r="E228" s="424" t="s">
        <v>654</v>
      </c>
      <c r="G228" s="425">
        <v>275.8</v>
      </c>
      <c r="N228" s="426"/>
    </row>
    <row r="229" spans="1:64" ht="15" customHeight="1">
      <c r="A229" s="423"/>
      <c r="D229" s="424" t="s">
        <v>1295</v>
      </c>
      <c r="E229" s="424" t="s">
        <v>654</v>
      </c>
      <c r="G229" s="425">
        <v>13.790000000000001</v>
      </c>
      <c r="N229" s="426"/>
    </row>
    <row r="230" spans="1:64" ht="15" customHeight="1">
      <c r="A230" s="401" t="s">
        <v>979</v>
      </c>
      <c r="B230" s="402" t="s">
        <v>654</v>
      </c>
      <c r="C230" s="402" t="s">
        <v>941</v>
      </c>
      <c r="D230" s="440" t="s">
        <v>942</v>
      </c>
      <c r="E230" s="440"/>
      <c r="F230" s="402" t="s">
        <v>7</v>
      </c>
      <c r="G230" s="420">
        <v>139.69999999999999</v>
      </c>
      <c r="H230" s="420"/>
      <c r="I230" s="420">
        <f>G230*AO230</f>
        <v>0</v>
      </c>
      <c r="J230" s="420">
        <f>G230*AP230</f>
        <v>0</v>
      </c>
      <c r="K230" s="420">
        <f>G230*H230</f>
        <v>0</v>
      </c>
      <c r="L230" s="420">
        <v>0</v>
      </c>
      <c r="M230" s="420">
        <f>G230*L230</f>
        <v>0</v>
      </c>
      <c r="N230" s="421" t="s">
        <v>1358</v>
      </c>
      <c r="Z230" s="420">
        <f>IF(AQ230="5",BJ230,0)</f>
        <v>0</v>
      </c>
      <c r="AB230" s="420">
        <f>IF(AQ230="1",BH230,0)</f>
        <v>0</v>
      </c>
      <c r="AC230" s="420">
        <f>IF(AQ230="1",BI230,0)</f>
        <v>0</v>
      </c>
      <c r="AD230" s="420">
        <f>IF(AQ230="7",BH230,0)</f>
        <v>0</v>
      </c>
      <c r="AE230" s="420">
        <f>IF(AQ230="7",BI230,0)</f>
        <v>0</v>
      </c>
      <c r="AF230" s="420">
        <f>IF(AQ230="2",BH230,0)</f>
        <v>0</v>
      </c>
      <c r="AG230" s="420">
        <f>IF(AQ230="2",BI230,0)</f>
        <v>0</v>
      </c>
      <c r="AH230" s="420">
        <f>IF(AQ230="0",BJ230,0)</f>
        <v>0</v>
      </c>
      <c r="AI230" s="408" t="s">
        <v>654</v>
      </c>
      <c r="AJ230" s="420">
        <f>IF(AN230=0,K230,0)</f>
        <v>0</v>
      </c>
      <c r="AK230" s="420">
        <f>IF(AN230=15,K230,0)</f>
        <v>0</v>
      </c>
      <c r="AL230" s="420">
        <f>IF(AN230=21,K230,0)</f>
        <v>0</v>
      </c>
      <c r="AN230" s="420">
        <v>21</v>
      </c>
      <c r="AO230" s="420">
        <f>H230*0</f>
        <v>0</v>
      </c>
      <c r="AP230" s="420">
        <f>H230*(1-0)</f>
        <v>0</v>
      </c>
      <c r="AQ230" s="422" t="s">
        <v>657</v>
      </c>
      <c r="AV230" s="420">
        <f>AW230+AX230</f>
        <v>0</v>
      </c>
      <c r="AW230" s="420">
        <f>G230*AO230</f>
        <v>0</v>
      </c>
      <c r="AX230" s="420">
        <f>G230*AP230</f>
        <v>0</v>
      </c>
      <c r="AY230" s="422" t="s">
        <v>943</v>
      </c>
      <c r="AZ230" s="422" t="s">
        <v>891</v>
      </c>
      <c r="BA230" s="408" t="s">
        <v>662</v>
      </c>
      <c r="BC230" s="420">
        <f>AW230+AX230</f>
        <v>0</v>
      </c>
      <c r="BD230" s="420">
        <f>H230/(100-BE230)*100</f>
        <v>0</v>
      </c>
      <c r="BE230" s="420">
        <v>0</v>
      </c>
      <c r="BF230" s="420">
        <f>M230</f>
        <v>0</v>
      </c>
      <c r="BH230" s="420">
        <f>G230*AO230</f>
        <v>0</v>
      </c>
      <c r="BI230" s="420">
        <f>G230*AP230</f>
        <v>0</v>
      </c>
      <c r="BJ230" s="420">
        <f>G230*H230</f>
        <v>0</v>
      </c>
      <c r="BK230" s="420"/>
      <c r="BL230" s="420">
        <v>87</v>
      </c>
    </row>
    <row r="231" spans="1:64" ht="15" customHeight="1">
      <c r="A231" s="423"/>
      <c r="D231" s="424" t="s">
        <v>1296</v>
      </c>
      <c r="E231" s="424" t="s">
        <v>654</v>
      </c>
      <c r="G231" s="425">
        <v>139.70000000000002</v>
      </c>
      <c r="N231" s="426"/>
    </row>
    <row r="232" spans="1:64" ht="15" customHeight="1">
      <c r="A232" s="401" t="s">
        <v>988</v>
      </c>
      <c r="B232" s="402" t="s">
        <v>654</v>
      </c>
      <c r="C232" s="402" t="s">
        <v>1297</v>
      </c>
      <c r="D232" s="440" t="s">
        <v>1298</v>
      </c>
      <c r="E232" s="440"/>
      <c r="F232" s="402" t="s">
        <v>660</v>
      </c>
      <c r="G232" s="420">
        <v>1</v>
      </c>
      <c r="H232" s="420"/>
      <c r="I232" s="420">
        <f>G232*AO232</f>
        <v>0</v>
      </c>
      <c r="J232" s="420">
        <f>G232*AP232</f>
        <v>0</v>
      </c>
      <c r="K232" s="420">
        <f>G232*H232</f>
        <v>0</v>
      </c>
      <c r="L232" s="420">
        <v>0</v>
      </c>
      <c r="M232" s="420">
        <f>G232*L232</f>
        <v>0</v>
      </c>
      <c r="N232" s="421" t="s">
        <v>654</v>
      </c>
      <c r="Z232" s="420">
        <f>IF(AQ232="5",BJ232,0)</f>
        <v>0</v>
      </c>
      <c r="AB232" s="420">
        <f>IF(AQ232="1",BH232,0)</f>
        <v>0</v>
      </c>
      <c r="AC232" s="420">
        <f>IF(AQ232="1",BI232,0)</f>
        <v>0</v>
      </c>
      <c r="AD232" s="420">
        <f>IF(AQ232="7",BH232,0)</f>
        <v>0</v>
      </c>
      <c r="AE232" s="420">
        <f>IF(AQ232="7",BI232,0)</f>
        <v>0</v>
      </c>
      <c r="AF232" s="420">
        <f>IF(AQ232="2",BH232,0)</f>
        <v>0</v>
      </c>
      <c r="AG232" s="420">
        <f>IF(AQ232="2",BI232,0)</f>
        <v>0</v>
      </c>
      <c r="AH232" s="420">
        <f>IF(AQ232="0",BJ232,0)</f>
        <v>0</v>
      </c>
      <c r="AI232" s="408" t="s">
        <v>654</v>
      </c>
      <c r="AJ232" s="420">
        <f>IF(AN232=0,K232,0)</f>
        <v>0</v>
      </c>
      <c r="AK232" s="420">
        <f>IF(AN232=15,K232,0)</f>
        <v>0</v>
      </c>
      <c r="AL232" s="420">
        <f>IF(AN232=21,K232,0)</f>
        <v>0</v>
      </c>
      <c r="AN232" s="420">
        <v>21</v>
      </c>
      <c r="AO232" s="420">
        <f>H232*0.2</f>
        <v>0</v>
      </c>
      <c r="AP232" s="420">
        <f>H232*(1-0.2)</f>
        <v>0</v>
      </c>
      <c r="AQ232" s="422" t="s">
        <v>657</v>
      </c>
      <c r="AV232" s="420">
        <f>AW232+AX232</f>
        <v>0</v>
      </c>
      <c r="AW232" s="420">
        <f>G232*AO232</f>
        <v>0</v>
      </c>
      <c r="AX232" s="420">
        <f>G232*AP232</f>
        <v>0</v>
      </c>
      <c r="AY232" s="422" t="s">
        <v>943</v>
      </c>
      <c r="AZ232" s="422" t="s">
        <v>891</v>
      </c>
      <c r="BA232" s="408" t="s">
        <v>662</v>
      </c>
      <c r="BC232" s="420">
        <f>AW232+AX232</f>
        <v>0</v>
      </c>
      <c r="BD232" s="420">
        <f>H232/(100-BE232)*100</f>
        <v>0</v>
      </c>
      <c r="BE232" s="420">
        <v>0</v>
      </c>
      <c r="BF232" s="420">
        <f>M232</f>
        <v>0</v>
      </c>
      <c r="BH232" s="420">
        <f>G232*AO232</f>
        <v>0</v>
      </c>
      <c r="BI232" s="420">
        <f>G232*AP232</f>
        <v>0</v>
      </c>
      <c r="BJ232" s="420">
        <f>G232*H232</f>
        <v>0</v>
      </c>
      <c r="BK232" s="420"/>
      <c r="BL232" s="420">
        <v>87</v>
      </c>
    </row>
    <row r="233" spans="1:64" ht="15" customHeight="1">
      <c r="A233" s="423"/>
      <c r="D233" s="424" t="s">
        <v>1299</v>
      </c>
      <c r="E233" s="424" t="s">
        <v>654</v>
      </c>
      <c r="G233" s="425">
        <v>1</v>
      </c>
      <c r="N233" s="426"/>
    </row>
    <row r="234" spans="1:64" ht="15" customHeight="1">
      <c r="A234" s="416" t="s">
        <v>654</v>
      </c>
      <c r="B234" s="417" t="s">
        <v>654</v>
      </c>
      <c r="C234" s="417" t="s">
        <v>979</v>
      </c>
      <c r="D234" s="455" t="s">
        <v>980</v>
      </c>
      <c r="E234" s="455"/>
      <c r="F234" s="418" t="s">
        <v>608</v>
      </c>
      <c r="G234" s="418" t="s">
        <v>608</v>
      </c>
      <c r="H234" s="418"/>
      <c r="I234" s="400">
        <f>SUM(I235:I237)</f>
        <v>0</v>
      </c>
      <c r="J234" s="400">
        <f>SUM(J235:J237)</f>
        <v>0</v>
      </c>
      <c r="K234" s="400">
        <f>SUM(K235:K237)</f>
        <v>0</v>
      </c>
      <c r="L234" s="408" t="s">
        <v>654</v>
      </c>
      <c r="M234" s="400">
        <f>SUM(M235:M237)</f>
        <v>6.9501599999999997E-2</v>
      </c>
      <c r="N234" s="419" t="s">
        <v>654</v>
      </c>
      <c r="AI234" s="408" t="s">
        <v>654</v>
      </c>
      <c r="AS234" s="400">
        <f>SUM(AJ235:AJ237)</f>
        <v>0</v>
      </c>
      <c r="AT234" s="400">
        <f>SUM(AK235:AK237)</f>
        <v>0</v>
      </c>
      <c r="AU234" s="400">
        <f>SUM(AL235:AL237)</f>
        <v>0</v>
      </c>
    </row>
    <row r="235" spans="1:64" ht="15" customHeight="1">
      <c r="A235" s="401" t="s">
        <v>1012</v>
      </c>
      <c r="B235" s="402" t="s">
        <v>654</v>
      </c>
      <c r="C235" s="402" t="s">
        <v>982</v>
      </c>
      <c r="D235" s="440" t="s">
        <v>983</v>
      </c>
      <c r="E235" s="440"/>
      <c r="F235" s="402" t="s">
        <v>7</v>
      </c>
      <c r="G235" s="420">
        <v>137.9</v>
      </c>
      <c r="H235" s="420"/>
      <c r="I235" s="420">
        <f>G235*AO235</f>
        <v>0</v>
      </c>
      <c r="J235" s="420">
        <f>G235*AP235</f>
        <v>0</v>
      </c>
      <c r="K235" s="420">
        <f>G235*H235</f>
        <v>0</v>
      </c>
      <c r="L235" s="420">
        <v>0</v>
      </c>
      <c r="M235" s="420">
        <f>G235*L235</f>
        <v>0</v>
      </c>
      <c r="N235" s="421" t="s">
        <v>1358</v>
      </c>
      <c r="Z235" s="420">
        <f>IF(AQ235="5",BJ235,0)</f>
        <v>0</v>
      </c>
      <c r="AB235" s="420">
        <f>IF(AQ235="1",BH235,0)</f>
        <v>0</v>
      </c>
      <c r="AC235" s="420">
        <f>IF(AQ235="1",BI235,0)</f>
        <v>0</v>
      </c>
      <c r="AD235" s="420">
        <f>IF(AQ235="7",BH235,0)</f>
        <v>0</v>
      </c>
      <c r="AE235" s="420">
        <f>IF(AQ235="7",BI235,0)</f>
        <v>0</v>
      </c>
      <c r="AF235" s="420">
        <f>IF(AQ235="2",BH235,0)</f>
        <v>0</v>
      </c>
      <c r="AG235" s="420">
        <f>IF(AQ235="2",BI235,0)</f>
        <v>0</v>
      </c>
      <c r="AH235" s="420">
        <f>IF(AQ235="0",BJ235,0)</f>
        <v>0</v>
      </c>
      <c r="AI235" s="408" t="s">
        <v>654</v>
      </c>
      <c r="AJ235" s="420">
        <f>IF(AN235=0,K235,0)</f>
        <v>0</v>
      </c>
      <c r="AK235" s="420">
        <f>IF(AN235=15,K235,0)</f>
        <v>0</v>
      </c>
      <c r="AL235" s="420">
        <f>IF(AN235=21,K235,0)</f>
        <v>0</v>
      </c>
      <c r="AN235" s="420">
        <v>21</v>
      </c>
      <c r="AO235" s="420">
        <f>H235*0</f>
        <v>0</v>
      </c>
      <c r="AP235" s="420">
        <f>H235*(1-0)</f>
        <v>0</v>
      </c>
      <c r="AQ235" s="422" t="s">
        <v>657</v>
      </c>
      <c r="AV235" s="420">
        <f>AW235+AX235</f>
        <v>0</v>
      </c>
      <c r="AW235" s="420">
        <f>G235*AO235</f>
        <v>0</v>
      </c>
      <c r="AX235" s="420">
        <f>G235*AP235</f>
        <v>0</v>
      </c>
      <c r="AY235" s="422" t="s">
        <v>984</v>
      </c>
      <c r="AZ235" s="422" t="s">
        <v>891</v>
      </c>
      <c r="BA235" s="408" t="s">
        <v>662</v>
      </c>
      <c r="BC235" s="420">
        <f>AW235+AX235</f>
        <v>0</v>
      </c>
      <c r="BD235" s="420">
        <f>H235/(100-BE235)*100</f>
        <v>0</v>
      </c>
      <c r="BE235" s="420">
        <v>0</v>
      </c>
      <c r="BF235" s="420">
        <f>M235</f>
        <v>0</v>
      </c>
      <c r="BH235" s="420">
        <f>G235*AO235</f>
        <v>0</v>
      </c>
      <c r="BI235" s="420">
        <f>G235*AP235</f>
        <v>0</v>
      </c>
      <c r="BJ235" s="420">
        <f>G235*H235</f>
        <v>0</v>
      </c>
      <c r="BK235" s="420"/>
      <c r="BL235" s="420">
        <v>88</v>
      </c>
    </row>
    <row r="236" spans="1:64" ht="15" customHeight="1">
      <c r="A236" s="423"/>
      <c r="D236" s="424" t="s">
        <v>1100</v>
      </c>
      <c r="E236" s="424" t="s">
        <v>654</v>
      </c>
      <c r="G236" s="425">
        <v>137.9</v>
      </c>
      <c r="N236" s="426"/>
    </row>
    <row r="237" spans="1:64" ht="15" customHeight="1">
      <c r="A237" s="401" t="s">
        <v>1017</v>
      </c>
      <c r="B237" s="402" t="s">
        <v>654</v>
      </c>
      <c r="C237" s="402" t="s">
        <v>986</v>
      </c>
      <c r="D237" s="440" t="s">
        <v>987</v>
      </c>
      <c r="E237" s="440"/>
      <c r="F237" s="402" t="s">
        <v>7</v>
      </c>
      <c r="G237" s="420">
        <v>144.79499999999999</v>
      </c>
      <c r="H237" s="420"/>
      <c r="I237" s="420">
        <f>G237*AO237</f>
        <v>0</v>
      </c>
      <c r="J237" s="420">
        <f>G237*AP237</f>
        <v>0</v>
      </c>
      <c r="K237" s="420">
        <f>G237*H237</f>
        <v>0</v>
      </c>
      <c r="L237" s="420">
        <v>4.8000000000000001E-4</v>
      </c>
      <c r="M237" s="420">
        <f>G237*L237</f>
        <v>6.9501599999999997E-2</v>
      </c>
      <c r="N237" s="421" t="s">
        <v>1358</v>
      </c>
      <c r="Z237" s="420">
        <f>IF(AQ237="5",BJ237,0)</f>
        <v>0</v>
      </c>
      <c r="AB237" s="420">
        <f>IF(AQ237="1",BH237,0)</f>
        <v>0</v>
      </c>
      <c r="AC237" s="420">
        <f>IF(AQ237="1",BI237,0)</f>
        <v>0</v>
      </c>
      <c r="AD237" s="420">
        <f>IF(AQ237="7",BH237,0)</f>
        <v>0</v>
      </c>
      <c r="AE237" s="420">
        <f>IF(AQ237="7",BI237,0)</f>
        <v>0</v>
      </c>
      <c r="AF237" s="420">
        <f>IF(AQ237="2",BH237,0)</f>
        <v>0</v>
      </c>
      <c r="AG237" s="420">
        <f>IF(AQ237="2",BI237,0)</f>
        <v>0</v>
      </c>
      <c r="AH237" s="420">
        <f>IF(AQ237="0",BJ237,0)</f>
        <v>0</v>
      </c>
      <c r="AI237" s="408" t="s">
        <v>654</v>
      </c>
      <c r="AJ237" s="420">
        <f>IF(AN237=0,K237,0)</f>
        <v>0</v>
      </c>
      <c r="AK237" s="420">
        <f>IF(AN237=15,K237,0)</f>
        <v>0</v>
      </c>
      <c r="AL237" s="420">
        <f>IF(AN237=21,K237,0)</f>
        <v>0</v>
      </c>
      <c r="AN237" s="420">
        <v>21</v>
      </c>
      <c r="AO237" s="420">
        <f>H237*1</f>
        <v>0</v>
      </c>
      <c r="AP237" s="420">
        <f>H237*(1-1)</f>
        <v>0</v>
      </c>
      <c r="AQ237" s="422" t="s">
        <v>657</v>
      </c>
      <c r="AV237" s="420">
        <f>AW237+AX237</f>
        <v>0</v>
      </c>
      <c r="AW237" s="420">
        <f>G237*AO237</f>
        <v>0</v>
      </c>
      <c r="AX237" s="420">
        <f>G237*AP237</f>
        <v>0</v>
      </c>
      <c r="AY237" s="422" t="s">
        <v>984</v>
      </c>
      <c r="AZ237" s="422" t="s">
        <v>891</v>
      </c>
      <c r="BA237" s="408" t="s">
        <v>662</v>
      </c>
      <c r="BC237" s="420">
        <f>AW237+AX237</f>
        <v>0</v>
      </c>
      <c r="BD237" s="420">
        <f>H237/(100-BE237)*100</f>
        <v>0</v>
      </c>
      <c r="BE237" s="420">
        <v>0</v>
      </c>
      <c r="BF237" s="420">
        <f>M237</f>
        <v>6.9501599999999997E-2</v>
      </c>
      <c r="BH237" s="420">
        <f>G237*AO237</f>
        <v>0</v>
      </c>
      <c r="BI237" s="420">
        <f>G237*AP237</f>
        <v>0</v>
      </c>
      <c r="BJ237" s="420">
        <f>G237*H237</f>
        <v>0</v>
      </c>
      <c r="BK237" s="420"/>
      <c r="BL237" s="420">
        <v>88</v>
      </c>
    </row>
    <row r="238" spans="1:64" ht="15" customHeight="1">
      <c r="A238" s="423"/>
      <c r="D238" s="424" t="s">
        <v>1291</v>
      </c>
      <c r="E238" s="424" t="s">
        <v>654</v>
      </c>
      <c r="G238" s="425">
        <v>144.79500000000002</v>
      </c>
      <c r="N238" s="426"/>
    </row>
    <row r="239" spans="1:64" ht="15" customHeight="1">
      <c r="A239" s="416" t="s">
        <v>654</v>
      </c>
      <c r="B239" s="417" t="s">
        <v>654</v>
      </c>
      <c r="C239" s="417" t="s">
        <v>988</v>
      </c>
      <c r="D239" s="455" t="s">
        <v>989</v>
      </c>
      <c r="E239" s="455"/>
      <c r="F239" s="418" t="s">
        <v>608</v>
      </c>
      <c r="G239" s="418" t="s">
        <v>608</v>
      </c>
      <c r="H239" s="418"/>
      <c r="I239" s="400">
        <f>SUM(I240:I244)</f>
        <v>0</v>
      </c>
      <c r="J239" s="400">
        <f>SUM(J240:J244)</f>
        <v>0</v>
      </c>
      <c r="K239" s="400">
        <f>SUM(K240:K244)</f>
        <v>0</v>
      </c>
      <c r="L239" s="408" t="s">
        <v>654</v>
      </c>
      <c r="M239" s="400">
        <f>SUM(M240:M244)</f>
        <v>18.132769999999997</v>
      </c>
      <c r="N239" s="419" t="s">
        <v>654</v>
      </c>
      <c r="AI239" s="408" t="s">
        <v>654</v>
      </c>
      <c r="AS239" s="400">
        <f>SUM(AJ240:AJ244)</f>
        <v>0</v>
      </c>
      <c r="AT239" s="400">
        <f>SUM(AK240:AK244)</f>
        <v>0</v>
      </c>
      <c r="AU239" s="400">
        <f>SUM(AL240:AL244)</f>
        <v>0</v>
      </c>
    </row>
    <row r="240" spans="1:64" ht="15" customHeight="1">
      <c r="A240" s="401" t="s">
        <v>1022</v>
      </c>
      <c r="B240" s="402" t="s">
        <v>654</v>
      </c>
      <c r="C240" s="402" t="s">
        <v>1300</v>
      </c>
      <c r="D240" s="440" t="s">
        <v>1301</v>
      </c>
      <c r="E240" s="440"/>
      <c r="F240" s="402" t="s">
        <v>14</v>
      </c>
      <c r="G240" s="420">
        <v>1</v>
      </c>
      <c r="H240" s="420"/>
      <c r="I240" s="420">
        <f>G240*AO240</f>
        <v>0</v>
      </c>
      <c r="J240" s="420">
        <f>G240*AP240</f>
        <v>0</v>
      </c>
      <c r="K240" s="420">
        <f>G240*H240</f>
        <v>0</v>
      </c>
      <c r="L240" s="420">
        <v>18.085149999999999</v>
      </c>
      <c r="M240" s="420">
        <f>G240*L240</f>
        <v>18.085149999999999</v>
      </c>
      <c r="N240" s="421" t="s">
        <v>1358</v>
      </c>
      <c r="Z240" s="420">
        <f>IF(AQ240="5",BJ240,0)</f>
        <v>0</v>
      </c>
      <c r="AB240" s="420">
        <f>IF(AQ240="1",BH240,0)</f>
        <v>0</v>
      </c>
      <c r="AC240" s="420">
        <f>IF(AQ240="1",BI240,0)</f>
        <v>0</v>
      </c>
      <c r="AD240" s="420">
        <f>IF(AQ240="7",BH240,0)</f>
        <v>0</v>
      </c>
      <c r="AE240" s="420">
        <f>IF(AQ240="7",BI240,0)</f>
        <v>0</v>
      </c>
      <c r="AF240" s="420">
        <f>IF(AQ240="2",BH240,0)</f>
        <v>0</v>
      </c>
      <c r="AG240" s="420">
        <f>IF(AQ240="2",BI240,0)</f>
        <v>0</v>
      </c>
      <c r="AH240" s="420">
        <f>IF(AQ240="0",BJ240,0)</f>
        <v>0</v>
      </c>
      <c r="AI240" s="408" t="s">
        <v>654</v>
      </c>
      <c r="AJ240" s="420">
        <f>IF(AN240=0,K240,0)</f>
        <v>0</v>
      </c>
      <c r="AK240" s="420">
        <f>IF(AN240=15,K240,0)</f>
        <v>0</v>
      </c>
      <c r="AL240" s="420">
        <f>IF(AN240=21,K240,0)</f>
        <v>0</v>
      </c>
      <c r="AN240" s="420">
        <v>21</v>
      </c>
      <c r="AO240" s="420">
        <f>H240*0.689311562484577</f>
        <v>0</v>
      </c>
      <c r="AP240" s="420">
        <f>H240*(1-0.689311562484577)</f>
        <v>0</v>
      </c>
      <c r="AQ240" s="422" t="s">
        <v>657</v>
      </c>
      <c r="AV240" s="420">
        <f>AW240+AX240</f>
        <v>0</v>
      </c>
      <c r="AW240" s="420">
        <f>G240*AO240</f>
        <v>0</v>
      </c>
      <c r="AX240" s="420">
        <f>G240*AP240</f>
        <v>0</v>
      </c>
      <c r="AY240" s="422" t="s">
        <v>993</v>
      </c>
      <c r="AZ240" s="422" t="s">
        <v>891</v>
      </c>
      <c r="BA240" s="408" t="s">
        <v>662</v>
      </c>
      <c r="BC240" s="420">
        <f>AW240+AX240</f>
        <v>0</v>
      </c>
      <c r="BD240" s="420">
        <f>H240/(100-BE240)*100</f>
        <v>0</v>
      </c>
      <c r="BE240" s="420">
        <v>0</v>
      </c>
      <c r="BF240" s="420">
        <f>M240</f>
        <v>18.085149999999999</v>
      </c>
      <c r="BH240" s="420">
        <f>G240*AO240</f>
        <v>0</v>
      </c>
      <c r="BI240" s="420">
        <f>G240*AP240</f>
        <v>0</v>
      </c>
      <c r="BJ240" s="420">
        <f>G240*H240</f>
        <v>0</v>
      </c>
      <c r="BK240" s="420"/>
      <c r="BL240" s="420">
        <v>89</v>
      </c>
    </row>
    <row r="241" spans="1:64" ht="15" customHeight="1">
      <c r="A241" s="423"/>
      <c r="D241" s="424" t="s">
        <v>1302</v>
      </c>
      <c r="E241" s="424" t="s">
        <v>654</v>
      </c>
      <c r="G241" s="425">
        <v>1</v>
      </c>
      <c r="N241" s="426"/>
    </row>
    <row r="242" spans="1:64" ht="15" customHeight="1">
      <c r="A242" s="401" t="s">
        <v>1025</v>
      </c>
      <c r="B242" s="402" t="s">
        <v>654</v>
      </c>
      <c r="C242" s="402" t="s">
        <v>1303</v>
      </c>
      <c r="D242" s="440" t="s">
        <v>1304</v>
      </c>
      <c r="E242" s="440"/>
      <c r="F242" s="402" t="s">
        <v>14</v>
      </c>
      <c r="G242" s="420">
        <v>1</v>
      </c>
      <c r="H242" s="420"/>
      <c r="I242" s="420">
        <f>G242*AO242</f>
        <v>0</v>
      </c>
      <c r="J242" s="420">
        <f>G242*AP242</f>
        <v>0</v>
      </c>
      <c r="K242" s="420">
        <f>G242*H242</f>
        <v>0</v>
      </c>
      <c r="L242" s="420">
        <v>4.7620000000000003E-2</v>
      </c>
      <c r="M242" s="420">
        <f>G242*L242</f>
        <v>4.7620000000000003E-2</v>
      </c>
      <c r="N242" s="421" t="s">
        <v>1358</v>
      </c>
      <c r="Z242" s="420">
        <f>IF(AQ242="5",BJ242,0)</f>
        <v>0</v>
      </c>
      <c r="AB242" s="420">
        <f>IF(AQ242="1",BH242,0)</f>
        <v>0</v>
      </c>
      <c r="AC242" s="420">
        <f>IF(AQ242="1",BI242,0)</f>
        <v>0</v>
      </c>
      <c r="AD242" s="420">
        <f>IF(AQ242="7",BH242,0)</f>
        <v>0</v>
      </c>
      <c r="AE242" s="420">
        <f>IF(AQ242="7",BI242,0)</f>
        <v>0</v>
      </c>
      <c r="AF242" s="420">
        <f>IF(AQ242="2",BH242,0)</f>
        <v>0</v>
      </c>
      <c r="AG242" s="420">
        <f>IF(AQ242="2",BI242,0)</f>
        <v>0</v>
      </c>
      <c r="AH242" s="420">
        <f>IF(AQ242="0",BJ242,0)</f>
        <v>0</v>
      </c>
      <c r="AI242" s="408" t="s">
        <v>654</v>
      </c>
      <c r="AJ242" s="420">
        <f>IF(AN242=0,K242,0)</f>
        <v>0</v>
      </c>
      <c r="AK242" s="420">
        <f>IF(AN242=15,K242,0)</f>
        <v>0</v>
      </c>
      <c r="AL242" s="420">
        <f>IF(AN242=21,K242,0)</f>
        <v>0</v>
      </c>
      <c r="AN242" s="420">
        <v>21</v>
      </c>
      <c r="AO242" s="420">
        <f>H242*0.890897391304348</f>
        <v>0</v>
      </c>
      <c r="AP242" s="420">
        <f>H242*(1-0.890897391304348)</f>
        <v>0</v>
      </c>
      <c r="AQ242" s="422" t="s">
        <v>657</v>
      </c>
      <c r="AV242" s="420">
        <f>AW242+AX242</f>
        <v>0</v>
      </c>
      <c r="AW242" s="420">
        <f>G242*AO242</f>
        <v>0</v>
      </c>
      <c r="AX242" s="420">
        <f>G242*AP242</f>
        <v>0</v>
      </c>
      <c r="AY242" s="422" t="s">
        <v>993</v>
      </c>
      <c r="AZ242" s="422" t="s">
        <v>891</v>
      </c>
      <c r="BA242" s="408" t="s">
        <v>662</v>
      </c>
      <c r="BC242" s="420">
        <f>AW242+AX242</f>
        <v>0</v>
      </c>
      <c r="BD242" s="420">
        <f>H242/(100-BE242)*100</f>
        <v>0</v>
      </c>
      <c r="BE242" s="420">
        <v>0</v>
      </c>
      <c r="BF242" s="420">
        <f>M242</f>
        <v>4.7620000000000003E-2</v>
      </c>
      <c r="BH242" s="420">
        <f>G242*AO242</f>
        <v>0</v>
      </c>
      <c r="BI242" s="420">
        <f>G242*AP242</f>
        <v>0</v>
      </c>
      <c r="BJ242" s="420">
        <f>G242*H242</f>
        <v>0</v>
      </c>
      <c r="BK242" s="420"/>
      <c r="BL242" s="420">
        <v>89</v>
      </c>
    </row>
    <row r="243" spans="1:64" ht="15" customHeight="1">
      <c r="A243" s="423"/>
      <c r="D243" s="424" t="s">
        <v>1305</v>
      </c>
      <c r="E243" s="424" t="s">
        <v>654</v>
      </c>
      <c r="G243" s="425">
        <v>1</v>
      </c>
      <c r="N243" s="426"/>
    </row>
    <row r="244" spans="1:64" ht="15" customHeight="1">
      <c r="A244" s="401" t="s">
        <v>1027</v>
      </c>
      <c r="B244" s="402" t="s">
        <v>654</v>
      </c>
      <c r="C244" s="402" t="s">
        <v>991</v>
      </c>
      <c r="D244" s="440" t="s">
        <v>992</v>
      </c>
      <c r="E244" s="440"/>
      <c r="F244" s="402" t="s">
        <v>7</v>
      </c>
      <c r="G244" s="420">
        <v>137.9</v>
      </c>
      <c r="H244" s="420"/>
      <c r="I244" s="420">
        <f>G244*AO244</f>
        <v>0</v>
      </c>
      <c r="J244" s="420">
        <f>G244*AP244</f>
        <v>0</v>
      </c>
      <c r="K244" s="420">
        <f>G244*H244</f>
        <v>0</v>
      </c>
      <c r="L244" s="420">
        <v>0</v>
      </c>
      <c r="M244" s="420">
        <f>G244*L244</f>
        <v>0</v>
      </c>
      <c r="N244" s="421" t="s">
        <v>1358</v>
      </c>
      <c r="Z244" s="420">
        <f>IF(AQ244="5",BJ244,0)</f>
        <v>0</v>
      </c>
      <c r="AB244" s="420">
        <f>IF(AQ244="1",BH244,0)</f>
        <v>0</v>
      </c>
      <c r="AC244" s="420">
        <f>IF(AQ244="1",BI244,0)</f>
        <v>0</v>
      </c>
      <c r="AD244" s="420">
        <f>IF(AQ244="7",BH244,0)</f>
        <v>0</v>
      </c>
      <c r="AE244" s="420">
        <f>IF(AQ244="7",BI244,0)</f>
        <v>0</v>
      </c>
      <c r="AF244" s="420">
        <f>IF(AQ244="2",BH244,0)</f>
        <v>0</v>
      </c>
      <c r="AG244" s="420">
        <f>IF(AQ244="2",BI244,0)</f>
        <v>0</v>
      </c>
      <c r="AH244" s="420">
        <f>IF(AQ244="0",BJ244,0)</f>
        <v>0</v>
      </c>
      <c r="AI244" s="408" t="s">
        <v>654</v>
      </c>
      <c r="AJ244" s="420">
        <f>IF(AN244=0,K244,0)</f>
        <v>0</v>
      </c>
      <c r="AK244" s="420">
        <f>IF(AN244=15,K244,0)</f>
        <v>0</v>
      </c>
      <c r="AL244" s="420">
        <f>IF(AN244=21,K244,0)</f>
        <v>0</v>
      </c>
      <c r="AN244" s="420">
        <v>21</v>
      </c>
      <c r="AO244" s="420">
        <f>H244*0.0295666348483736</f>
        <v>0</v>
      </c>
      <c r="AP244" s="420">
        <f>H244*(1-0.0295666348483736)</f>
        <v>0</v>
      </c>
      <c r="AQ244" s="422" t="s">
        <v>657</v>
      </c>
      <c r="AV244" s="420">
        <f>AW244+AX244</f>
        <v>0</v>
      </c>
      <c r="AW244" s="420">
        <f>G244*AO244</f>
        <v>0</v>
      </c>
      <c r="AX244" s="420">
        <f>G244*AP244</f>
        <v>0</v>
      </c>
      <c r="AY244" s="422" t="s">
        <v>993</v>
      </c>
      <c r="AZ244" s="422" t="s">
        <v>891</v>
      </c>
      <c r="BA244" s="408" t="s">
        <v>662</v>
      </c>
      <c r="BC244" s="420">
        <f>AW244+AX244</f>
        <v>0</v>
      </c>
      <c r="BD244" s="420">
        <f>H244/(100-BE244)*100</f>
        <v>0</v>
      </c>
      <c r="BE244" s="420">
        <v>0</v>
      </c>
      <c r="BF244" s="420">
        <f>M244</f>
        <v>0</v>
      </c>
      <c r="BH244" s="420">
        <f>G244*AO244</f>
        <v>0</v>
      </c>
      <c r="BI244" s="420">
        <f>G244*AP244</f>
        <v>0</v>
      </c>
      <c r="BJ244" s="420">
        <f>G244*H244</f>
        <v>0</v>
      </c>
      <c r="BK244" s="420"/>
      <c r="BL244" s="420">
        <v>89</v>
      </c>
    </row>
    <row r="245" spans="1:64" ht="15" customHeight="1">
      <c r="A245" s="423"/>
      <c r="D245" s="424" t="s">
        <v>1100</v>
      </c>
      <c r="E245" s="424" t="s">
        <v>654</v>
      </c>
      <c r="G245" s="425">
        <v>137.9</v>
      </c>
      <c r="N245" s="426"/>
    </row>
    <row r="246" spans="1:64" ht="15" customHeight="1">
      <c r="A246" s="416" t="s">
        <v>654</v>
      </c>
      <c r="B246" s="417" t="s">
        <v>654</v>
      </c>
      <c r="C246" s="417" t="s">
        <v>1306</v>
      </c>
      <c r="D246" s="455" t="s">
        <v>1307</v>
      </c>
      <c r="E246" s="455"/>
      <c r="F246" s="418" t="s">
        <v>608</v>
      </c>
      <c r="G246" s="418" t="s">
        <v>608</v>
      </c>
      <c r="H246" s="418"/>
      <c r="I246" s="400">
        <f>SUM(I247:I247)</f>
        <v>0</v>
      </c>
      <c r="J246" s="400">
        <f>SUM(J247:J247)</f>
        <v>0</v>
      </c>
      <c r="K246" s="400">
        <f>SUM(K247:K247)</f>
        <v>0</v>
      </c>
      <c r="L246" s="408" t="s">
        <v>654</v>
      </c>
      <c r="M246" s="400">
        <f>SUM(M247:M247)</f>
        <v>0</v>
      </c>
      <c r="N246" s="419" t="s">
        <v>654</v>
      </c>
      <c r="AI246" s="408" t="s">
        <v>654</v>
      </c>
      <c r="AS246" s="400">
        <f>SUM(AJ247:AJ247)</f>
        <v>0</v>
      </c>
      <c r="AT246" s="400">
        <f>SUM(AK247:AK247)</f>
        <v>0</v>
      </c>
      <c r="AU246" s="400">
        <f>SUM(AL247:AL247)</f>
        <v>0</v>
      </c>
    </row>
    <row r="247" spans="1:64" ht="15" customHeight="1">
      <c r="A247" s="401" t="s">
        <v>1030</v>
      </c>
      <c r="B247" s="402" t="s">
        <v>654</v>
      </c>
      <c r="C247" s="402" t="s">
        <v>1308</v>
      </c>
      <c r="D247" s="440" t="s">
        <v>1309</v>
      </c>
      <c r="E247" s="440"/>
      <c r="F247" s="402" t="s">
        <v>660</v>
      </c>
      <c r="G247" s="420">
        <v>1</v>
      </c>
      <c r="H247" s="420"/>
      <c r="I247" s="420">
        <f>G247*AO247</f>
        <v>0</v>
      </c>
      <c r="J247" s="420">
        <f>G247*AP247</f>
        <v>0</v>
      </c>
      <c r="K247" s="420">
        <f>G247*H247</f>
        <v>0</v>
      </c>
      <c r="L247" s="420">
        <v>0</v>
      </c>
      <c r="M247" s="420">
        <f>G247*L247</f>
        <v>0</v>
      </c>
      <c r="N247" s="421" t="s">
        <v>654</v>
      </c>
      <c r="Z247" s="420">
        <f>IF(AQ247="5",BJ247,0)</f>
        <v>0</v>
      </c>
      <c r="AB247" s="420">
        <f>IF(AQ247="1",BH247,0)</f>
        <v>0</v>
      </c>
      <c r="AC247" s="420">
        <f>IF(AQ247="1",BI247,0)</f>
        <v>0</v>
      </c>
      <c r="AD247" s="420">
        <f>IF(AQ247="7",BH247,0)</f>
        <v>0</v>
      </c>
      <c r="AE247" s="420">
        <f>IF(AQ247="7",BI247,0)</f>
        <v>0</v>
      </c>
      <c r="AF247" s="420">
        <f>IF(AQ247="2",BH247,0)</f>
        <v>0</v>
      </c>
      <c r="AG247" s="420">
        <f>IF(AQ247="2",BI247,0)</f>
        <v>0</v>
      </c>
      <c r="AH247" s="420">
        <f>IF(AQ247="0",BJ247,0)</f>
        <v>0</v>
      </c>
      <c r="AI247" s="408" t="s">
        <v>654</v>
      </c>
      <c r="AJ247" s="420">
        <f>IF(AN247=0,K247,0)</f>
        <v>0</v>
      </c>
      <c r="AK247" s="420">
        <f>IF(AN247=15,K247,0)</f>
        <v>0</v>
      </c>
      <c r="AL247" s="420">
        <f>IF(AN247=21,K247,0)</f>
        <v>0</v>
      </c>
      <c r="AN247" s="420">
        <v>21</v>
      </c>
      <c r="AO247" s="420">
        <f>H247*0</f>
        <v>0</v>
      </c>
      <c r="AP247" s="420">
        <f>H247*(1-0)</f>
        <v>0</v>
      </c>
      <c r="AQ247" s="422" t="s">
        <v>657</v>
      </c>
      <c r="AV247" s="420">
        <f>AW247+AX247</f>
        <v>0</v>
      </c>
      <c r="AW247" s="420">
        <f>G247*AO247</f>
        <v>0</v>
      </c>
      <c r="AX247" s="420">
        <f>G247*AP247</f>
        <v>0</v>
      </c>
      <c r="AY247" s="422" t="s">
        <v>1310</v>
      </c>
      <c r="AZ247" s="422" t="s">
        <v>891</v>
      </c>
      <c r="BA247" s="408" t="s">
        <v>662</v>
      </c>
      <c r="BC247" s="420">
        <f>AW247+AX247</f>
        <v>0</v>
      </c>
      <c r="BD247" s="420">
        <f>H247/(100-BE247)*100</f>
        <v>0</v>
      </c>
      <c r="BE247" s="420">
        <v>0</v>
      </c>
      <c r="BF247" s="420">
        <f>M247</f>
        <v>0</v>
      </c>
      <c r="BH247" s="420">
        <f>G247*AO247</f>
        <v>0</v>
      </c>
      <c r="BI247" s="420">
        <f>G247*AP247</f>
        <v>0</v>
      </c>
      <c r="BJ247" s="420">
        <f>G247*H247</f>
        <v>0</v>
      </c>
      <c r="BK247" s="420"/>
      <c r="BL247" s="420">
        <v>891</v>
      </c>
    </row>
    <row r="248" spans="1:64" ht="15" customHeight="1">
      <c r="A248" s="423"/>
      <c r="D248" s="424" t="s">
        <v>657</v>
      </c>
      <c r="E248" s="424" t="s">
        <v>654</v>
      </c>
      <c r="G248" s="425">
        <v>1</v>
      </c>
      <c r="N248" s="426"/>
    </row>
    <row r="249" spans="1:64" ht="15" customHeight="1">
      <c r="A249" s="416" t="s">
        <v>654</v>
      </c>
      <c r="B249" s="417" t="s">
        <v>654</v>
      </c>
      <c r="C249" s="417" t="s">
        <v>1015</v>
      </c>
      <c r="D249" s="455" t="s">
        <v>1311</v>
      </c>
      <c r="E249" s="455"/>
      <c r="F249" s="418" t="s">
        <v>608</v>
      </c>
      <c r="G249" s="418" t="s">
        <v>608</v>
      </c>
      <c r="H249" s="418"/>
      <c r="I249" s="400">
        <f>SUM(I250:I250)</f>
        <v>0</v>
      </c>
      <c r="J249" s="400">
        <f>SUM(J250:J250)</f>
        <v>0</v>
      </c>
      <c r="K249" s="400">
        <f>SUM(K250:K250)</f>
        <v>0</v>
      </c>
      <c r="L249" s="408" t="s">
        <v>654</v>
      </c>
      <c r="M249" s="400">
        <f>SUM(M250:M250)</f>
        <v>0</v>
      </c>
      <c r="N249" s="419" t="s">
        <v>654</v>
      </c>
      <c r="AI249" s="408" t="s">
        <v>654</v>
      </c>
      <c r="AS249" s="400">
        <f>SUM(AJ250:AJ250)</f>
        <v>0</v>
      </c>
      <c r="AT249" s="400">
        <f>SUM(AK250:AK250)</f>
        <v>0</v>
      </c>
      <c r="AU249" s="400">
        <f>SUM(AL250:AL250)</f>
        <v>0</v>
      </c>
    </row>
    <row r="250" spans="1:64" ht="15" customHeight="1">
      <c r="A250" s="401" t="s">
        <v>1033</v>
      </c>
      <c r="B250" s="402" t="s">
        <v>654</v>
      </c>
      <c r="C250" s="402" t="s">
        <v>1312</v>
      </c>
      <c r="D250" s="440" t="s">
        <v>1313</v>
      </c>
      <c r="E250" s="440"/>
      <c r="F250" s="402" t="s">
        <v>14</v>
      </c>
      <c r="G250" s="420">
        <v>6</v>
      </c>
      <c r="H250" s="420"/>
      <c r="I250" s="420">
        <f>G250*AO250</f>
        <v>0</v>
      </c>
      <c r="J250" s="420">
        <f>G250*AP250</f>
        <v>0</v>
      </c>
      <c r="K250" s="420">
        <f>G250*H250</f>
        <v>0</v>
      </c>
      <c r="L250" s="420">
        <v>0</v>
      </c>
      <c r="M250" s="420">
        <f>G250*L250</f>
        <v>0</v>
      </c>
      <c r="N250" s="421" t="s">
        <v>654</v>
      </c>
      <c r="Z250" s="420">
        <f>IF(AQ250="5",BJ250,0)</f>
        <v>0</v>
      </c>
      <c r="AB250" s="420">
        <f>IF(AQ250="1",BH250,0)</f>
        <v>0</v>
      </c>
      <c r="AC250" s="420">
        <f>IF(AQ250="1",BI250,0)</f>
        <v>0</v>
      </c>
      <c r="AD250" s="420">
        <f>IF(AQ250="7",BH250,0)</f>
        <v>0</v>
      </c>
      <c r="AE250" s="420">
        <f>IF(AQ250="7",BI250,0)</f>
        <v>0</v>
      </c>
      <c r="AF250" s="420">
        <f>IF(AQ250="2",BH250,0)</f>
        <v>0</v>
      </c>
      <c r="AG250" s="420">
        <f>IF(AQ250="2",BI250,0)</f>
        <v>0</v>
      </c>
      <c r="AH250" s="420">
        <f>IF(AQ250="0",BJ250,0)</f>
        <v>0</v>
      </c>
      <c r="AI250" s="408" t="s">
        <v>654</v>
      </c>
      <c r="AJ250" s="420">
        <f>IF(AN250=0,K250,0)</f>
        <v>0</v>
      </c>
      <c r="AK250" s="420">
        <f>IF(AN250=15,K250,0)</f>
        <v>0</v>
      </c>
      <c r="AL250" s="420">
        <f>IF(AN250=21,K250,0)</f>
        <v>0</v>
      </c>
      <c r="AN250" s="420">
        <v>21</v>
      </c>
      <c r="AO250" s="420">
        <f>H250*0.666666</f>
        <v>0</v>
      </c>
      <c r="AP250" s="420">
        <f>H250*(1-0.666666)</f>
        <v>0</v>
      </c>
      <c r="AQ250" s="422" t="s">
        <v>657</v>
      </c>
      <c r="AV250" s="420">
        <f>AW250+AX250</f>
        <v>0</v>
      </c>
      <c r="AW250" s="420">
        <f>G250*AO250</f>
        <v>0</v>
      </c>
      <c r="AX250" s="420">
        <f>G250*AP250</f>
        <v>0</v>
      </c>
      <c r="AY250" s="422" t="s">
        <v>1020</v>
      </c>
      <c r="AZ250" s="422" t="s">
        <v>891</v>
      </c>
      <c r="BA250" s="408" t="s">
        <v>662</v>
      </c>
      <c r="BC250" s="420">
        <f>AW250+AX250</f>
        <v>0</v>
      </c>
      <c r="BD250" s="420">
        <f>H250/(100-BE250)*100</f>
        <v>0</v>
      </c>
      <c r="BE250" s="420">
        <v>0</v>
      </c>
      <c r="BF250" s="420">
        <f>M250</f>
        <v>0</v>
      </c>
      <c r="BH250" s="420">
        <f>G250*AO250</f>
        <v>0</v>
      </c>
      <c r="BI250" s="420">
        <f>G250*AP250</f>
        <v>0</v>
      </c>
      <c r="BJ250" s="420">
        <f>G250*H250</f>
        <v>0</v>
      </c>
      <c r="BK250" s="420"/>
      <c r="BL250" s="420">
        <v>894</v>
      </c>
    </row>
    <row r="251" spans="1:64" ht="15" customHeight="1">
      <c r="A251" s="423"/>
      <c r="D251" s="424" t="s">
        <v>1314</v>
      </c>
      <c r="E251" s="424" t="s">
        <v>654</v>
      </c>
      <c r="G251" s="425">
        <v>5</v>
      </c>
      <c r="N251" s="426"/>
    </row>
    <row r="252" spans="1:64" ht="15" customHeight="1">
      <c r="A252" s="423"/>
      <c r="D252" s="424" t="s">
        <v>1315</v>
      </c>
      <c r="E252" s="424" t="s">
        <v>654</v>
      </c>
      <c r="G252" s="425">
        <v>1</v>
      </c>
      <c r="N252" s="426"/>
    </row>
    <row r="253" spans="1:64" ht="15" customHeight="1">
      <c r="A253" s="416" t="s">
        <v>654</v>
      </c>
      <c r="B253" s="417" t="s">
        <v>654</v>
      </c>
      <c r="C253" s="417" t="s">
        <v>1025</v>
      </c>
      <c r="D253" s="455" t="s">
        <v>1316</v>
      </c>
      <c r="E253" s="455"/>
      <c r="F253" s="418" t="s">
        <v>608</v>
      </c>
      <c r="G253" s="418" t="s">
        <v>608</v>
      </c>
      <c r="H253" s="418"/>
      <c r="I253" s="400">
        <f>SUM(I254:I254)</f>
        <v>0</v>
      </c>
      <c r="J253" s="400">
        <f>SUM(J254:J254)</f>
        <v>0</v>
      </c>
      <c r="K253" s="400">
        <f>SUM(K254:K254)</f>
        <v>0</v>
      </c>
      <c r="L253" s="408" t="s">
        <v>654</v>
      </c>
      <c r="M253" s="400">
        <f>SUM(M254:M254)</f>
        <v>0</v>
      </c>
      <c r="N253" s="419" t="s">
        <v>654</v>
      </c>
      <c r="AI253" s="408" t="s">
        <v>654</v>
      </c>
      <c r="AS253" s="400">
        <f>SUM(AJ254:AJ254)</f>
        <v>0</v>
      </c>
      <c r="AT253" s="400">
        <f>SUM(AK254:AK254)</f>
        <v>0</v>
      </c>
      <c r="AU253" s="400">
        <f>SUM(AL254:AL254)</f>
        <v>0</v>
      </c>
    </row>
    <row r="254" spans="1:64" ht="15" customHeight="1">
      <c r="A254" s="401" t="s">
        <v>1037</v>
      </c>
      <c r="B254" s="402" t="s">
        <v>654</v>
      </c>
      <c r="C254" s="402" t="s">
        <v>1317</v>
      </c>
      <c r="D254" s="440" t="s">
        <v>1318</v>
      </c>
      <c r="E254" s="440"/>
      <c r="F254" s="402" t="s">
        <v>40</v>
      </c>
      <c r="G254" s="420">
        <v>280.28800000000001</v>
      </c>
      <c r="H254" s="420"/>
      <c r="I254" s="420">
        <f>G254*AO254</f>
        <v>0</v>
      </c>
      <c r="J254" s="420">
        <f>G254*AP254</f>
        <v>0</v>
      </c>
      <c r="K254" s="420">
        <f>G254*H254</f>
        <v>0</v>
      </c>
      <c r="L254" s="420">
        <v>0</v>
      </c>
      <c r="M254" s="420">
        <f>G254*L254</f>
        <v>0</v>
      </c>
      <c r="N254" s="421" t="s">
        <v>1358</v>
      </c>
      <c r="Z254" s="420">
        <f>IF(AQ254="5",BJ254,0)</f>
        <v>0</v>
      </c>
      <c r="AB254" s="420">
        <f>IF(AQ254="1",BH254,0)</f>
        <v>0</v>
      </c>
      <c r="AC254" s="420">
        <f>IF(AQ254="1",BI254,0)</f>
        <v>0</v>
      </c>
      <c r="AD254" s="420">
        <f>IF(AQ254="7",BH254,0)</f>
        <v>0</v>
      </c>
      <c r="AE254" s="420">
        <f>IF(AQ254="7",BI254,0)</f>
        <v>0</v>
      </c>
      <c r="AF254" s="420">
        <f>IF(AQ254="2",BH254,0)</f>
        <v>0</v>
      </c>
      <c r="AG254" s="420">
        <f>IF(AQ254="2",BI254,0)</f>
        <v>0</v>
      </c>
      <c r="AH254" s="420">
        <f>IF(AQ254="0",BJ254,0)</f>
        <v>0</v>
      </c>
      <c r="AI254" s="408" t="s">
        <v>654</v>
      </c>
      <c r="AJ254" s="420">
        <f>IF(AN254=0,K254,0)</f>
        <v>0</v>
      </c>
      <c r="AK254" s="420">
        <f>IF(AN254=15,K254,0)</f>
        <v>0</v>
      </c>
      <c r="AL254" s="420">
        <f>IF(AN254=21,K254,0)</f>
        <v>0</v>
      </c>
      <c r="AN254" s="420">
        <v>21</v>
      </c>
      <c r="AO254" s="420">
        <f>H254*0.550812493217228</f>
        <v>0</v>
      </c>
      <c r="AP254" s="420">
        <f>H254*(1-0.550812493217228)</f>
        <v>0</v>
      </c>
      <c r="AQ254" s="422" t="s">
        <v>657</v>
      </c>
      <c r="AV254" s="420">
        <f>AW254+AX254</f>
        <v>0</v>
      </c>
      <c r="AW254" s="420">
        <f>G254*AO254</f>
        <v>0</v>
      </c>
      <c r="AX254" s="420">
        <f>G254*AP254</f>
        <v>0</v>
      </c>
      <c r="AY254" s="422" t="s">
        <v>1319</v>
      </c>
      <c r="AZ254" s="422" t="s">
        <v>1023</v>
      </c>
      <c r="BA254" s="408" t="s">
        <v>662</v>
      </c>
      <c r="BC254" s="420">
        <f>AW254+AX254</f>
        <v>0</v>
      </c>
      <c r="BD254" s="420">
        <f>H254/(100-BE254)*100</f>
        <v>0</v>
      </c>
      <c r="BE254" s="420">
        <v>0</v>
      </c>
      <c r="BF254" s="420">
        <f>M254</f>
        <v>0</v>
      </c>
      <c r="BH254" s="420">
        <f>G254*AO254</f>
        <v>0</v>
      </c>
      <c r="BI254" s="420">
        <f>G254*AP254</f>
        <v>0</v>
      </c>
      <c r="BJ254" s="420">
        <f>G254*H254</f>
        <v>0</v>
      </c>
      <c r="BK254" s="420"/>
      <c r="BL254" s="420">
        <v>93</v>
      </c>
    </row>
    <row r="255" spans="1:64" ht="15" customHeight="1">
      <c r="A255" s="423"/>
      <c r="D255" s="424" t="s">
        <v>1320</v>
      </c>
      <c r="E255" s="424" t="s">
        <v>654</v>
      </c>
      <c r="G255" s="425">
        <v>65.135600000000011</v>
      </c>
      <c r="N255" s="426"/>
    </row>
    <row r="256" spans="1:64" ht="15" customHeight="1">
      <c r="A256" s="423"/>
      <c r="D256" s="424" t="s">
        <v>1321</v>
      </c>
      <c r="E256" s="424" t="s">
        <v>654</v>
      </c>
      <c r="G256" s="425">
        <v>48.046600000000005</v>
      </c>
      <c r="N256" s="426"/>
    </row>
    <row r="257" spans="1:64" ht="15" customHeight="1">
      <c r="A257" s="423"/>
      <c r="D257" s="424" t="s">
        <v>1322</v>
      </c>
      <c r="E257" s="424" t="s">
        <v>654</v>
      </c>
      <c r="G257" s="425">
        <v>82.102700000000013</v>
      </c>
      <c r="N257" s="426"/>
    </row>
    <row r="258" spans="1:64" ht="15" customHeight="1">
      <c r="A258" s="423"/>
      <c r="D258" s="424" t="s">
        <v>1323</v>
      </c>
      <c r="E258" s="424" t="s">
        <v>654</v>
      </c>
      <c r="G258" s="425">
        <v>85.003100000000003</v>
      </c>
      <c r="N258" s="426"/>
    </row>
    <row r="259" spans="1:64" ht="15" customHeight="1">
      <c r="A259" s="423"/>
      <c r="D259" s="424" t="s">
        <v>1324</v>
      </c>
      <c r="E259" s="424" t="s">
        <v>654</v>
      </c>
      <c r="G259" s="425">
        <v>0</v>
      </c>
      <c r="N259" s="426"/>
    </row>
    <row r="260" spans="1:64" ht="15" customHeight="1">
      <c r="A260" s="416" t="s">
        <v>654</v>
      </c>
      <c r="B260" s="417" t="s">
        <v>654</v>
      </c>
      <c r="C260" s="417" t="s">
        <v>1031</v>
      </c>
      <c r="D260" s="455" t="s">
        <v>1032</v>
      </c>
      <c r="E260" s="455"/>
      <c r="F260" s="418" t="s">
        <v>608</v>
      </c>
      <c r="G260" s="418" t="s">
        <v>608</v>
      </c>
      <c r="H260" s="418"/>
      <c r="I260" s="400">
        <f>SUM(I261:I261)</f>
        <v>0</v>
      </c>
      <c r="J260" s="400">
        <f>SUM(J261:J261)</f>
        <v>0</v>
      </c>
      <c r="K260" s="400">
        <f>SUM(K261:K261)</f>
        <v>0</v>
      </c>
      <c r="L260" s="408" t="s">
        <v>654</v>
      </c>
      <c r="M260" s="400">
        <f>SUM(M261:M261)</f>
        <v>0</v>
      </c>
      <c r="N260" s="419" t="s">
        <v>654</v>
      </c>
      <c r="AI260" s="408" t="s">
        <v>654</v>
      </c>
      <c r="AS260" s="400">
        <f>SUM(AJ261:AJ261)</f>
        <v>0</v>
      </c>
      <c r="AT260" s="400">
        <f>SUM(AK261:AK261)</f>
        <v>0</v>
      </c>
      <c r="AU260" s="400">
        <f>SUM(AL261:AL261)</f>
        <v>0</v>
      </c>
    </row>
    <row r="261" spans="1:64" ht="15" customHeight="1">
      <c r="A261" s="401" t="s">
        <v>1042</v>
      </c>
      <c r="B261" s="402" t="s">
        <v>654</v>
      </c>
      <c r="C261" s="402" t="s">
        <v>1038</v>
      </c>
      <c r="D261" s="440" t="s">
        <v>1039</v>
      </c>
      <c r="E261" s="440"/>
      <c r="F261" s="402" t="s">
        <v>10</v>
      </c>
      <c r="G261" s="420">
        <v>0.3695</v>
      </c>
      <c r="H261" s="420"/>
      <c r="I261" s="420">
        <f>G261*AO261</f>
        <v>0</v>
      </c>
      <c r="J261" s="420">
        <f>G261*AP261</f>
        <v>0</v>
      </c>
      <c r="K261" s="420">
        <f>G261*H261</f>
        <v>0</v>
      </c>
      <c r="L261" s="420">
        <v>0</v>
      </c>
      <c r="M261" s="420">
        <f>G261*L261</f>
        <v>0</v>
      </c>
      <c r="N261" s="421" t="s">
        <v>1358</v>
      </c>
      <c r="Z261" s="420">
        <f>IF(AQ261="5",BJ261,0)</f>
        <v>0</v>
      </c>
      <c r="AB261" s="420">
        <f>IF(AQ261="1",BH261,0)</f>
        <v>0</v>
      </c>
      <c r="AC261" s="420">
        <f>IF(AQ261="1",BI261,0)</f>
        <v>0</v>
      </c>
      <c r="AD261" s="420">
        <f>IF(AQ261="7",BH261,0)</f>
        <v>0</v>
      </c>
      <c r="AE261" s="420">
        <f>IF(AQ261="7",BI261,0)</f>
        <v>0</v>
      </c>
      <c r="AF261" s="420">
        <f>IF(AQ261="2",BH261,0)</f>
        <v>0</v>
      </c>
      <c r="AG261" s="420">
        <f>IF(AQ261="2",BI261,0)</f>
        <v>0</v>
      </c>
      <c r="AH261" s="420">
        <f>IF(AQ261="0",BJ261,0)</f>
        <v>0</v>
      </c>
      <c r="AI261" s="408" t="s">
        <v>654</v>
      </c>
      <c r="AJ261" s="420">
        <f>IF(AN261=0,K261,0)</f>
        <v>0</v>
      </c>
      <c r="AK261" s="420">
        <f>IF(AN261=15,K261,0)</f>
        <v>0</v>
      </c>
      <c r="AL261" s="420">
        <f>IF(AN261=21,K261,0)</f>
        <v>0</v>
      </c>
      <c r="AN261" s="420">
        <v>21</v>
      </c>
      <c r="AO261" s="420">
        <f>H261*0</f>
        <v>0</v>
      </c>
      <c r="AP261" s="420">
        <f>H261*(1-0)</f>
        <v>0</v>
      </c>
      <c r="AQ261" s="422" t="s">
        <v>680</v>
      </c>
      <c r="AV261" s="420">
        <f>AW261+AX261</f>
        <v>0</v>
      </c>
      <c r="AW261" s="420">
        <f>G261*AO261</f>
        <v>0</v>
      </c>
      <c r="AX261" s="420">
        <f>G261*AP261</f>
        <v>0</v>
      </c>
      <c r="AY261" s="422" t="s">
        <v>1036</v>
      </c>
      <c r="AZ261" s="422" t="s">
        <v>1023</v>
      </c>
      <c r="BA261" s="408" t="s">
        <v>662</v>
      </c>
      <c r="BC261" s="420">
        <f>AW261+AX261</f>
        <v>0</v>
      </c>
      <c r="BD261" s="420">
        <f>H261/(100-BE261)*100</f>
        <v>0</v>
      </c>
      <c r="BE261" s="420">
        <v>0</v>
      </c>
      <c r="BF261" s="420">
        <f>M261</f>
        <v>0</v>
      </c>
      <c r="BH261" s="420">
        <f>G261*AO261</f>
        <v>0</v>
      </c>
      <c r="BI261" s="420">
        <f>G261*AP261</f>
        <v>0</v>
      </c>
      <c r="BJ261" s="420">
        <f>G261*H261</f>
        <v>0</v>
      </c>
      <c r="BK261" s="420"/>
      <c r="BL261" s="420"/>
    </row>
    <row r="262" spans="1:64" ht="15" customHeight="1">
      <c r="A262" s="423"/>
      <c r="D262" s="424" t="s">
        <v>1325</v>
      </c>
      <c r="E262" s="424" t="s">
        <v>654</v>
      </c>
      <c r="G262" s="425">
        <v>0.36950000000000005</v>
      </c>
      <c r="N262" s="426"/>
    </row>
    <row r="263" spans="1:64" ht="15" customHeight="1">
      <c r="A263" s="416" t="s">
        <v>654</v>
      </c>
      <c r="B263" s="417" t="s">
        <v>654</v>
      </c>
      <c r="C263" s="417" t="s">
        <v>1040</v>
      </c>
      <c r="D263" s="455" t="s">
        <v>1041</v>
      </c>
      <c r="E263" s="455"/>
      <c r="F263" s="418" t="s">
        <v>608</v>
      </c>
      <c r="G263" s="418" t="s">
        <v>608</v>
      </c>
      <c r="H263" s="418"/>
      <c r="I263" s="400">
        <f>SUM(I264:I264)</f>
        <v>0</v>
      </c>
      <c r="J263" s="400">
        <f>SUM(J264:J264)</f>
        <v>0</v>
      </c>
      <c r="K263" s="400">
        <f>SUM(K264:K264)</f>
        <v>0</v>
      </c>
      <c r="L263" s="408" t="s">
        <v>654</v>
      </c>
      <c r="M263" s="400">
        <f>SUM(M264:M264)</f>
        <v>0</v>
      </c>
      <c r="N263" s="419" t="s">
        <v>654</v>
      </c>
      <c r="AI263" s="408" t="s">
        <v>654</v>
      </c>
      <c r="AS263" s="400">
        <f>SUM(AJ264:AJ264)</f>
        <v>0</v>
      </c>
      <c r="AT263" s="400">
        <f>SUM(AK264:AK264)</f>
        <v>0</v>
      </c>
      <c r="AU263" s="400">
        <f>SUM(AL264:AL264)</f>
        <v>0</v>
      </c>
    </row>
    <row r="264" spans="1:64" ht="15" customHeight="1">
      <c r="A264" s="401" t="s">
        <v>1048</v>
      </c>
      <c r="B264" s="402" t="s">
        <v>654</v>
      </c>
      <c r="C264" s="402" t="s">
        <v>1043</v>
      </c>
      <c r="D264" s="440" t="s">
        <v>1044</v>
      </c>
      <c r="E264" s="440"/>
      <c r="F264" s="402" t="s">
        <v>10</v>
      </c>
      <c r="G264" s="420">
        <v>187.98732000000001</v>
      </c>
      <c r="H264" s="420"/>
      <c r="I264" s="420">
        <f>G264*AO264</f>
        <v>0</v>
      </c>
      <c r="J264" s="420">
        <f>G264*AP264</f>
        <v>0</v>
      </c>
      <c r="K264" s="420">
        <f>G264*H264</f>
        <v>0</v>
      </c>
      <c r="L264" s="420">
        <v>0</v>
      </c>
      <c r="M264" s="420">
        <f>G264*L264</f>
        <v>0</v>
      </c>
      <c r="N264" s="421" t="s">
        <v>1358</v>
      </c>
      <c r="Z264" s="420">
        <f>IF(AQ264="5",BJ264,0)</f>
        <v>0</v>
      </c>
      <c r="AB264" s="420">
        <f>IF(AQ264="1",BH264,0)</f>
        <v>0</v>
      </c>
      <c r="AC264" s="420">
        <f>IF(AQ264="1",BI264,0)</f>
        <v>0</v>
      </c>
      <c r="AD264" s="420">
        <f>IF(AQ264="7",BH264,0)</f>
        <v>0</v>
      </c>
      <c r="AE264" s="420">
        <f>IF(AQ264="7",BI264,0)</f>
        <v>0</v>
      </c>
      <c r="AF264" s="420">
        <f>IF(AQ264="2",BH264,0)</f>
        <v>0</v>
      </c>
      <c r="AG264" s="420">
        <f>IF(AQ264="2",BI264,0)</f>
        <v>0</v>
      </c>
      <c r="AH264" s="420">
        <f>IF(AQ264="0",BJ264,0)</f>
        <v>0</v>
      </c>
      <c r="AI264" s="408" t="s">
        <v>654</v>
      </c>
      <c r="AJ264" s="420">
        <f>IF(AN264=0,K264,0)</f>
        <v>0</v>
      </c>
      <c r="AK264" s="420">
        <f>IF(AN264=15,K264,0)</f>
        <v>0</v>
      </c>
      <c r="AL264" s="420">
        <f>IF(AN264=21,K264,0)</f>
        <v>0</v>
      </c>
      <c r="AN264" s="420">
        <v>21</v>
      </c>
      <c r="AO264" s="420">
        <f>H264*0</f>
        <v>0</v>
      </c>
      <c r="AP264" s="420">
        <f>H264*(1-0)</f>
        <v>0</v>
      </c>
      <c r="AQ264" s="422" t="s">
        <v>680</v>
      </c>
      <c r="AV264" s="420">
        <f>AW264+AX264</f>
        <v>0</v>
      </c>
      <c r="AW264" s="420">
        <f>G264*AO264</f>
        <v>0</v>
      </c>
      <c r="AX264" s="420">
        <f>G264*AP264</f>
        <v>0</v>
      </c>
      <c r="AY264" s="422" t="s">
        <v>1045</v>
      </c>
      <c r="AZ264" s="422" t="s">
        <v>1023</v>
      </c>
      <c r="BA264" s="408" t="s">
        <v>662</v>
      </c>
      <c r="BC264" s="420">
        <f>AW264+AX264</f>
        <v>0</v>
      </c>
      <c r="BD264" s="420">
        <f>H264/(100-BE264)*100</f>
        <v>0</v>
      </c>
      <c r="BE264" s="420">
        <v>0</v>
      </c>
      <c r="BF264" s="420">
        <f>M264</f>
        <v>0</v>
      </c>
      <c r="BH264" s="420">
        <f>G264*AO264</f>
        <v>0</v>
      </c>
      <c r="BI264" s="420">
        <f>G264*AP264</f>
        <v>0</v>
      </c>
      <c r="BJ264" s="420">
        <f>G264*H264</f>
        <v>0</v>
      </c>
      <c r="BK264" s="420"/>
      <c r="BL264" s="420"/>
    </row>
    <row r="265" spans="1:64" ht="15" customHeight="1">
      <c r="A265" s="423"/>
      <c r="D265" s="424" t="s">
        <v>1326</v>
      </c>
      <c r="E265" s="424" t="s">
        <v>654</v>
      </c>
      <c r="G265" s="425">
        <v>187.98732000000001</v>
      </c>
      <c r="N265" s="426"/>
    </row>
    <row r="266" spans="1:64" ht="15" customHeight="1">
      <c r="A266" s="416" t="s">
        <v>654</v>
      </c>
      <c r="B266" s="417" t="s">
        <v>654</v>
      </c>
      <c r="C266" s="417" t="s">
        <v>1327</v>
      </c>
      <c r="D266" s="455" t="s">
        <v>1328</v>
      </c>
      <c r="E266" s="455"/>
      <c r="F266" s="418" t="s">
        <v>608</v>
      </c>
      <c r="G266" s="418" t="s">
        <v>608</v>
      </c>
      <c r="H266" s="418"/>
      <c r="I266" s="400">
        <f>SUM(I267:I267)</f>
        <v>0</v>
      </c>
      <c r="J266" s="400">
        <f>SUM(J267:J267)</f>
        <v>0</v>
      </c>
      <c r="K266" s="400">
        <f>SUM(K267:K267)</f>
        <v>0</v>
      </c>
      <c r="L266" s="408" t="s">
        <v>654</v>
      </c>
      <c r="M266" s="400">
        <f>SUM(M267:M267)</f>
        <v>0</v>
      </c>
      <c r="N266" s="419" t="s">
        <v>654</v>
      </c>
      <c r="AI266" s="408" t="s">
        <v>654</v>
      </c>
      <c r="AS266" s="400">
        <f>SUM(AJ267:AJ267)</f>
        <v>0</v>
      </c>
      <c r="AT266" s="400">
        <f>SUM(AK267:AK267)</f>
        <v>0</v>
      </c>
      <c r="AU266" s="400">
        <f>SUM(AL267:AL267)</f>
        <v>0</v>
      </c>
    </row>
    <row r="267" spans="1:64" ht="15" customHeight="1">
      <c r="A267" s="401" t="s">
        <v>1055</v>
      </c>
      <c r="B267" s="402" t="s">
        <v>654</v>
      </c>
      <c r="C267" s="402" t="s">
        <v>1329</v>
      </c>
      <c r="D267" s="440" t="s">
        <v>1330</v>
      </c>
      <c r="E267" s="440"/>
      <c r="F267" s="402" t="s">
        <v>10</v>
      </c>
      <c r="G267" s="420">
        <v>3.11517</v>
      </c>
      <c r="H267" s="420"/>
      <c r="I267" s="420">
        <f>G267*AO267</f>
        <v>0</v>
      </c>
      <c r="J267" s="420">
        <f>G267*AP267</f>
        <v>0</v>
      </c>
      <c r="K267" s="420">
        <f>G267*H267</f>
        <v>0</v>
      </c>
      <c r="L267" s="420">
        <v>0</v>
      </c>
      <c r="M267" s="420">
        <f>G267*L267</f>
        <v>0</v>
      </c>
      <c r="N267" s="421" t="s">
        <v>1358</v>
      </c>
      <c r="Z267" s="420">
        <f>IF(AQ267="5",BJ267,0)</f>
        <v>0</v>
      </c>
      <c r="AB267" s="420">
        <f>IF(AQ267="1",BH267,0)</f>
        <v>0</v>
      </c>
      <c r="AC267" s="420">
        <f>IF(AQ267="1",BI267,0)</f>
        <v>0</v>
      </c>
      <c r="AD267" s="420">
        <f>IF(AQ267="7",BH267,0)</f>
        <v>0</v>
      </c>
      <c r="AE267" s="420">
        <f>IF(AQ267="7",BI267,0)</f>
        <v>0</v>
      </c>
      <c r="AF267" s="420">
        <f>IF(AQ267="2",BH267,0)</f>
        <v>0</v>
      </c>
      <c r="AG267" s="420">
        <f>IF(AQ267="2",BI267,0)</f>
        <v>0</v>
      </c>
      <c r="AH267" s="420">
        <f>IF(AQ267="0",BJ267,0)</f>
        <v>0</v>
      </c>
      <c r="AI267" s="408" t="s">
        <v>654</v>
      </c>
      <c r="AJ267" s="420">
        <f>IF(AN267=0,K267,0)</f>
        <v>0</v>
      </c>
      <c r="AK267" s="420">
        <f>IF(AN267=15,K267,0)</f>
        <v>0</v>
      </c>
      <c r="AL267" s="420">
        <f>IF(AN267=21,K267,0)</f>
        <v>0</v>
      </c>
      <c r="AN267" s="420">
        <v>21</v>
      </c>
      <c r="AO267" s="420">
        <f>H267*0</f>
        <v>0</v>
      </c>
      <c r="AP267" s="420">
        <f>H267*(1-0)</f>
        <v>0</v>
      </c>
      <c r="AQ267" s="422" t="s">
        <v>680</v>
      </c>
      <c r="AV267" s="420">
        <f>AW267+AX267</f>
        <v>0</v>
      </c>
      <c r="AW267" s="420">
        <f>G267*AO267</f>
        <v>0</v>
      </c>
      <c r="AX267" s="420">
        <f>G267*AP267</f>
        <v>0</v>
      </c>
      <c r="AY267" s="422" t="s">
        <v>1331</v>
      </c>
      <c r="AZ267" s="422" t="s">
        <v>1023</v>
      </c>
      <c r="BA267" s="408" t="s">
        <v>662</v>
      </c>
      <c r="BC267" s="420">
        <f>AW267+AX267</f>
        <v>0</v>
      </c>
      <c r="BD267" s="420">
        <f>H267/(100-BE267)*100</f>
        <v>0</v>
      </c>
      <c r="BE267" s="420">
        <v>0</v>
      </c>
      <c r="BF267" s="420">
        <f>M267</f>
        <v>0</v>
      </c>
      <c r="BH267" s="420">
        <f>G267*AO267</f>
        <v>0</v>
      </c>
      <c r="BI267" s="420">
        <f>G267*AP267</f>
        <v>0</v>
      </c>
      <c r="BJ267" s="420">
        <f>G267*H267</f>
        <v>0</v>
      </c>
      <c r="BK267" s="420"/>
      <c r="BL267" s="420"/>
    </row>
    <row r="268" spans="1:64" ht="15" customHeight="1">
      <c r="A268" s="423"/>
      <c r="D268" s="424" t="s">
        <v>1332</v>
      </c>
      <c r="E268" s="424" t="s">
        <v>654</v>
      </c>
      <c r="G268" s="425">
        <v>3.1151700000000004</v>
      </c>
      <c r="N268" s="426"/>
    </row>
    <row r="269" spans="1:64" ht="15" customHeight="1">
      <c r="A269" s="416" t="s">
        <v>654</v>
      </c>
      <c r="B269" s="417" t="s">
        <v>654</v>
      </c>
      <c r="C269" s="417" t="s">
        <v>1333</v>
      </c>
      <c r="D269" s="455" t="s">
        <v>1334</v>
      </c>
      <c r="E269" s="455"/>
      <c r="F269" s="418" t="s">
        <v>608</v>
      </c>
      <c r="G269" s="418" t="s">
        <v>608</v>
      </c>
      <c r="H269" s="418"/>
      <c r="I269" s="400">
        <f>SUM(I270:I274)</f>
        <v>0</v>
      </c>
      <c r="J269" s="400">
        <f>SUM(J270:J274)</f>
        <v>0</v>
      </c>
      <c r="K269" s="400">
        <f>SUM(K270:K274)</f>
        <v>0</v>
      </c>
      <c r="L269" s="408" t="s">
        <v>654</v>
      </c>
      <c r="M269" s="400">
        <f>SUM(M270:M274)</f>
        <v>0</v>
      </c>
      <c r="N269" s="419" t="s">
        <v>654</v>
      </c>
      <c r="AI269" s="408" t="s">
        <v>654</v>
      </c>
      <c r="AS269" s="400">
        <f>SUM(AJ270:AJ274)</f>
        <v>0</v>
      </c>
      <c r="AT269" s="400">
        <f>SUM(AK270:AK274)</f>
        <v>0</v>
      </c>
      <c r="AU269" s="400">
        <f>SUM(AL270:AL274)</f>
        <v>0</v>
      </c>
    </row>
    <row r="270" spans="1:64" ht="15" customHeight="1">
      <c r="A270" s="401" t="s">
        <v>1059</v>
      </c>
      <c r="B270" s="402" t="s">
        <v>654</v>
      </c>
      <c r="C270" s="402" t="s">
        <v>1335</v>
      </c>
      <c r="D270" s="440" t="s">
        <v>1336</v>
      </c>
      <c r="E270" s="440"/>
      <c r="F270" s="402" t="s">
        <v>14</v>
      </c>
      <c r="G270" s="420">
        <v>3</v>
      </c>
      <c r="H270" s="420"/>
      <c r="I270" s="420">
        <f>G270*AO270</f>
        <v>0</v>
      </c>
      <c r="J270" s="420">
        <f>G270*AP270</f>
        <v>0</v>
      </c>
      <c r="K270" s="420">
        <f>G270*H270</f>
        <v>0</v>
      </c>
      <c r="L270" s="420">
        <v>0</v>
      </c>
      <c r="M270" s="420">
        <f>G270*L270</f>
        <v>0</v>
      </c>
      <c r="N270" s="421" t="s">
        <v>1358</v>
      </c>
      <c r="Z270" s="420">
        <f>IF(AQ270="5",BJ270,0)</f>
        <v>0</v>
      </c>
      <c r="AB270" s="420">
        <f>IF(AQ270="1",BH270,0)</f>
        <v>0</v>
      </c>
      <c r="AC270" s="420">
        <f>IF(AQ270="1",BI270,0)</f>
        <v>0</v>
      </c>
      <c r="AD270" s="420">
        <f>IF(AQ270="7",BH270,0)</f>
        <v>0</v>
      </c>
      <c r="AE270" s="420">
        <f>IF(AQ270="7",BI270,0)</f>
        <v>0</v>
      </c>
      <c r="AF270" s="420">
        <f>IF(AQ270="2",BH270,0)</f>
        <v>0</v>
      </c>
      <c r="AG270" s="420">
        <f>IF(AQ270="2",BI270,0)</f>
        <v>0</v>
      </c>
      <c r="AH270" s="420">
        <f>IF(AQ270="0",BJ270,0)</f>
        <v>0</v>
      </c>
      <c r="AI270" s="408" t="s">
        <v>654</v>
      </c>
      <c r="AJ270" s="420">
        <f>IF(AN270=0,K270,0)</f>
        <v>0</v>
      </c>
      <c r="AK270" s="420">
        <f>IF(AN270=15,K270,0)</f>
        <v>0</v>
      </c>
      <c r="AL270" s="420">
        <f>IF(AN270=21,K270,0)</f>
        <v>0</v>
      </c>
      <c r="AN270" s="420">
        <v>21</v>
      </c>
      <c r="AO270" s="420">
        <f>H270*0</f>
        <v>0</v>
      </c>
      <c r="AP270" s="420">
        <f>H270*(1-0)</f>
        <v>0</v>
      </c>
      <c r="AQ270" s="422" t="s">
        <v>666</v>
      </c>
      <c r="AV270" s="420">
        <f>AW270+AX270</f>
        <v>0</v>
      </c>
      <c r="AW270" s="420">
        <f>G270*AO270</f>
        <v>0</v>
      </c>
      <c r="AX270" s="420">
        <f>G270*AP270</f>
        <v>0</v>
      </c>
      <c r="AY270" s="422" t="s">
        <v>1337</v>
      </c>
      <c r="AZ270" s="422" t="s">
        <v>1023</v>
      </c>
      <c r="BA270" s="408" t="s">
        <v>662</v>
      </c>
      <c r="BC270" s="420">
        <f>AW270+AX270</f>
        <v>0</v>
      </c>
      <c r="BD270" s="420">
        <f>H270/(100-BE270)*100</f>
        <v>0</v>
      </c>
      <c r="BE270" s="420">
        <v>0</v>
      </c>
      <c r="BF270" s="420">
        <f>M270</f>
        <v>0</v>
      </c>
      <c r="BH270" s="420">
        <f>G270*AO270</f>
        <v>0</v>
      </c>
      <c r="BI270" s="420">
        <f>G270*AP270</f>
        <v>0</v>
      </c>
      <c r="BJ270" s="420">
        <f>G270*H270</f>
        <v>0</v>
      </c>
      <c r="BK270" s="420"/>
      <c r="BL270" s="420"/>
    </row>
    <row r="271" spans="1:64" ht="15" customHeight="1">
      <c r="A271" s="423"/>
      <c r="D271" s="424" t="s">
        <v>1338</v>
      </c>
      <c r="E271" s="424" t="s">
        <v>654</v>
      </c>
      <c r="G271" s="425">
        <v>1</v>
      </c>
      <c r="N271" s="426"/>
    </row>
    <row r="272" spans="1:64" ht="15" customHeight="1">
      <c r="A272" s="423"/>
      <c r="D272" s="424" t="s">
        <v>1339</v>
      </c>
      <c r="E272" s="424" t="s">
        <v>654</v>
      </c>
      <c r="G272" s="425">
        <v>2</v>
      </c>
      <c r="N272" s="426"/>
    </row>
    <row r="273" spans="1:64" ht="15" customHeight="1">
      <c r="A273" s="401" t="s">
        <v>1061</v>
      </c>
      <c r="B273" s="402" t="s">
        <v>654</v>
      </c>
      <c r="C273" s="402" t="s">
        <v>1340</v>
      </c>
      <c r="D273" s="440" t="s">
        <v>1341</v>
      </c>
      <c r="E273" s="440"/>
      <c r="F273" s="402" t="s">
        <v>14</v>
      </c>
      <c r="G273" s="420">
        <v>1</v>
      </c>
      <c r="H273" s="420"/>
      <c r="I273" s="420">
        <f>G273*AO273</f>
        <v>0</v>
      </c>
      <c r="J273" s="420">
        <f>G273*AP273</f>
        <v>0</v>
      </c>
      <c r="K273" s="420">
        <f>G273*H273</f>
        <v>0</v>
      </c>
      <c r="L273" s="420">
        <v>0</v>
      </c>
      <c r="M273" s="420">
        <f>G273*L273</f>
        <v>0</v>
      </c>
      <c r="N273" s="421" t="s">
        <v>654</v>
      </c>
      <c r="Z273" s="420">
        <f>IF(AQ273="5",BJ273,0)</f>
        <v>0</v>
      </c>
      <c r="AB273" s="420">
        <f>IF(AQ273="1",BH273,0)</f>
        <v>0</v>
      </c>
      <c r="AC273" s="420">
        <f>IF(AQ273="1",BI273,0)</f>
        <v>0</v>
      </c>
      <c r="AD273" s="420">
        <f>IF(AQ273="7",BH273,0)</f>
        <v>0</v>
      </c>
      <c r="AE273" s="420">
        <f>IF(AQ273="7",BI273,0)</f>
        <v>0</v>
      </c>
      <c r="AF273" s="420">
        <f>IF(AQ273="2",BH273,0)</f>
        <v>0</v>
      </c>
      <c r="AG273" s="420">
        <f>IF(AQ273="2",BI273,0)</f>
        <v>0</v>
      </c>
      <c r="AH273" s="420">
        <f>IF(AQ273="0",BJ273,0)</f>
        <v>0</v>
      </c>
      <c r="AI273" s="408" t="s">
        <v>654</v>
      </c>
      <c r="AJ273" s="420">
        <f>IF(AN273=0,K273,0)</f>
        <v>0</v>
      </c>
      <c r="AK273" s="420">
        <f>IF(AN273=15,K273,0)</f>
        <v>0</v>
      </c>
      <c r="AL273" s="420">
        <f>IF(AN273=21,K273,0)</f>
        <v>0</v>
      </c>
      <c r="AN273" s="420">
        <v>21</v>
      </c>
      <c r="AO273" s="420">
        <f>H273*1</f>
        <v>0</v>
      </c>
      <c r="AP273" s="420">
        <f>H273*(1-1)</f>
        <v>0</v>
      </c>
      <c r="AQ273" s="422" t="s">
        <v>657</v>
      </c>
      <c r="AV273" s="420">
        <f>AW273+AX273</f>
        <v>0</v>
      </c>
      <c r="AW273" s="420">
        <f>G273*AO273</f>
        <v>0</v>
      </c>
      <c r="AX273" s="420">
        <f>G273*AP273</f>
        <v>0</v>
      </c>
      <c r="AY273" s="422" t="s">
        <v>1337</v>
      </c>
      <c r="AZ273" s="422" t="s">
        <v>1023</v>
      </c>
      <c r="BA273" s="408" t="s">
        <v>662</v>
      </c>
      <c r="BC273" s="420">
        <f>AW273+AX273</f>
        <v>0</v>
      </c>
      <c r="BD273" s="420">
        <f>H273/(100-BE273)*100</f>
        <v>0</v>
      </c>
      <c r="BE273" s="420">
        <v>0</v>
      </c>
      <c r="BF273" s="420">
        <f>M273</f>
        <v>0</v>
      </c>
      <c r="BH273" s="420">
        <f>G273*AO273</f>
        <v>0</v>
      </c>
      <c r="BI273" s="420">
        <f>G273*AP273</f>
        <v>0</v>
      </c>
      <c r="BJ273" s="420">
        <f>G273*H273</f>
        <v>0</v>
      </c>
      <c r="BK273" s="420"/>
      <c r="BL273" s="420"/>
    </row>
    <row r="274" spans="1:64" ht="15" customHeight="1">
      <c r="A274" s="401" t="s">
        <v>1064</v>
      </c>
      <c r="B274" s="402" t="s">
        <v>654</v>
      </c>
      <c r="C274" s="402" t="s">
        <v>1342</v>
      </c>
      <c r="D274" s="440" t="s">
        <v>1343</v>
      </c>
      <c r="E274" s="440"/>
      <c r="F274" s="402" t="s">
        <v>14</v>
      </c>
      <c r="G274" s="420">
        <v>2</v>
      </c>
      <c r="H274" s="420"/>
      <c r="I274" s="420">
        <f>G274*AO274</f>
        <v>0</v>
      </c>
      <c r="J274" s="420">
        <f>G274*AP274</f>
        <v>0</v>
      </c>
      <c r="K274" s="420">
        <f>G274*H274</f>
        <v>0</v>
      </c>
      <c r="L274" s="420">
        <v>0</v>
      </c>
      <c r="M274" s="420">
        <f>G274*L274</f>
        <v>0</v>
      </c>
      <c r="N274" s="421" t="s">
        <v>654</v>
      </c>
      <c r="Z274" s="420">
        <f>IF(AQ274="5",BJ274,0)</f>
        <v>0</v>
      </c>
      <c r="AB274" s="420">
        <f>IF(AQ274="1",BH274,0)</f>
        <v>0</v>
      </c>
      <c r="AC274" s="420">
        <f>IF(AQ274="1",BI274,0)</f>
        <v>0</v>
      </c>
      <c r="AD274" s="420">
        <f>IF(AQ274="7",BH274,0)</f>
        <v>0</v>
      </c>
      <c r="AE274" s="420">
        <f>IF(AQ274="7",BI274,0)</f>
        <v>0</v>
      </c>
      <c r="AF274" s="420">
        <f>IF(AQ274="2",BH274,0)</f>
        <v>0</v>
      </c>
      <c r="AG274" s="420">
        <f>IF(AQ274="2",BI274,0)</f>
        <v>0</v>
      </c>
      <c r="AH274" s="420">
        <f>IF(AQ274="0",BJ274,0)</f>
        <v>0</v>
      </c>
      <c r="AI274" s="408" t="s">
        <v>654</v>
      </c>
      <c r="AJ274" s="420">
        <f>IF(AN274=0,K274,0)</f>
        <v>0</v>
      </c>
      <c r="AK274" s="420">
        <f>IF(AN274=15,K274,0)</f>
        <v>0</v>
      </c>
      <c r="AL274" s="420">
        <f>IF(AN274=21,K274,0)</f>
        <v>0</v>
      </c>
      <c r="AN274" s="420">
        <v>21</v>
      </c>
      <c r="AO274" s="420">
        <f>H274*1</f>
        <v>0</v>
      </c>
      <c r="AP274" s="420">
        <f>H274*(1-1)</f>
        <v>0</v>
      </c>
      <c r="AQ274" s="422" t="s">
        <v>657</v>
      </c>
      <c r="AV274" s="420">
        <f>AW274+AX274</f>
        <v>0</v>
      </c>
      <c r="AW274" s="420">
        <f>G274*AO274</f>
        <v>0</v>
      </c>
      <c r="AX274" s="420">
        <f>G274*AP274</f>
        <v>0</v>
      </c>
      <c r="AY274" s="422" t="s">
        <v>1337</v>
      </c>
      <c r="AZ274" s="422" t="s">
        <v>1023</v>
      </c>
      <c r="BA274" s="408" t="s">
        <v>662</v>
      </c>
      <c r="BC274" s="420">
        <f>AW274+AX274</f>
        <v>0</v>
      </c>
      <c r="BD274" s="420">
        <f>H274/(100-BE274)*100</f>
        <v>0</v>
      </c>
      <c r="BE274" s="420">
        <v>0</v>
      </c>
      <c r="BF274" s="420">
        <f>M274</f>
        <v>0</v>
      </c>
      <c r="BH274" s="420">
        <f>G274*AO274</f>
        <v>0</v>
      </c>
      <c r="BI274" s="420">
        <f>G274*AP274</f>
        <v>0</v>
      </c>
      <c r="BJ274" s="420">
        <f>G274*H274</f>
        <v>0</v>
      </c>
      <c r="BK274" s="420"/>
      <c r="BL274" s="420"/>
    </row>
    <row r="275" spans="1:64" ht="15" customHeight="1">
      <c r="A275" s="416" t="s">
        <v>654</v>
      </c>
      <c r="B275" s="417" t="s">
        <v>654</v>
      </c>
      <c r="C275" s="417" t="s">
        <v>1046</v>
      </c>
      <c r="D275" s="455" t="s">
        <v>1047</v>
      </c>
      <c r="E275" s="455"/>
      <c r="F275" s="418" t="s">
        <v>608</v>
      </c>
      <c r="G275" s="418" t="s">
        <v>608</v>
      </c>
      <c r="H275" s="418"/>
      <c r="I275" s="400">
        <f>SUM(I276:I276)</f>
        <v>0</v>
      </c>
      <c r="J275" s="400">
        <f>SUM(J276:J276)</f>
        <v>0</v>
      </c>
      <c r="K275" s="400">
        <f>SUM(K276:K276)</f>
        <v>0</v>
      </c>
      <c r="L275" s="408" t="s">
        <v>654</v>
      </c>
      <c r="M275" s="400">
        <f>SUM(M276:M276)</f>
        <v>3.0575609999999998</v>
      </c>
      <c r="N275" s="419" t="s">
        <v>654</v>
      </c>
      <c r="AI275" s="408" t="s">
        <v>654</v>
      </c>
      <c r="AS275" s="400">
        <f>SUM(AJ276:AJ276)</f>
        <v>0</v>
      </c>
      <c r="AT275" s="400">
        <f>SUM(AK276:AK276)</f>
        <v>0</v>
      </c>
      <c r="AU275" s="400">
        <f>SUM(AL276:AL276)</f>
        <v>0</v>
      </c>
    </row>
    <row r="276" spans="1:64" ht="15" customHeight="1">
      <c r="A276" s="401" t="s">
        <v>1067</v>
      </c>
      <c r="B276" s="402" t="s">
        <v>654</v>
      </c>
      <c r="C276" s="402" t="s">
        <v>1049</v>
      </c>
      <c r="D276" s="440" t="s">
        <v>1050</v>
      </c>
      <c r="E276" s="440"/>
      <c r="F276" s="402" t="s">
        <v>694</v>
      </c>
      <c r="G276" s="420">
        <v>1.8134999999999999</v>
      </c>
      <c r="H276" s="420"/>
      <c r="I276" s="420">
        <f>G276*AO276</f>
        <v>0</v>
      </c>
      <c r="J276" s="420">
        <f>G276*AP276</f>
        <v>0</v>
      </c>
      <c r="K276" s="420">
        <f>G276*H276</f>
        <v>0</v>
      </c>
      <c r="L276" s="420">
        <v>1.6859999999999999</v>
      </c>
      <c r="M276" s="420">
        <f>G276*L276</f>
        <v>3.0575609999999998</v>
      </c>
      <c r="N276" s="421" t="s">
        <v>1358</v>
      </c>
      <c r="Z276" s="420">
        <f>IF(AQ276="5",BJ276,0)</f>
        <v>0</v>
      </c>
      <c r="AB276" s="420">
        <f>IF(AQ276="1",BH276,0)</f>
        <v>0</v>
      </c>
      <c r="AC276" s="420">
        <f>IF(AQ276="1",BI276,0)</f>
        <v>0</v>
      </c>
      <c r="AD276" s="420">
        <f>IF(AQ276="7",BH276,0)</f>
        <v>0</v>
      </c>
      <c r="AE276" s="420">
        <f>IF(AQ276="7",BI276,0)</f>
        <v>0</v>
      </c>
      <c r="AF276" s="420">
        <f>IF(AQ276="2",BH276,0)</f>
        <v>0</v>
      </c>
      <c r="AG276" s="420">
        <f>IF(AQ276="2",BI276,0)</f>
        <v>0</v>
      </c>
      <c r="AH276" s="420">
        <f>IF(AQ276="0",BJ276,0)</f>
        <v>0</v>
      </c>
      <c r="AI276" s="408" t="s">
        <v>654</v>
      </c>
      <c r="AJ276" s="420">
        <f>IF(AN276=0,K276,0)</f>
        <v>0</v>
      </c>
      <c r="AK276" s="420">
        <f>IF(AN276=15,K276,0)</f>
        <v>0</v>
      </c>
      <c r="AL276" s="420">
        <f>IF(AN276=21,K276,0)</f>
        <v>0</v>
      </c>
      <c r="AN276" s="420">
        <v>21</v>
      </c>
      <c r="AO276" s="420">
        <f>H276*0.777390832192359</f>
        <v>0</v>
      </c>
      <c r="AP276" s="420">
        <f>H276*(1-0.777390832192359)</f>
        <v>0</v>
      </c>
      <c r="AQ276" s="422" t="s">
        <v>666</v>
      </c>
      <c r="AV276" s="420">
        <f>AW276+AX276</f>
        <v>0</v>
      </c>
      <c r="AW276" s="420">
        <f>G276*AO276</f>
        <v>0</v>
      </c>
      <c r="AX276" s="420">
        <f>G276*AP276</f>
        <v>0</v>
      </c>
      <c r="AY276" s="422" t="s">
        <v>1051</v>
      </c>
      <c r="AZ276" s="422" t="s">
        <v>1023</v>
      </c>
      <c r="BA276" s="408" t="s">
        <v>662</v>
      </c>
      <c r="BC276" s="420">
        <f>AW276+AX276</f>
        <v>0</v>
      </c>
      <c r="BD276" s="420">
        <f>H276/(100-BE276)*100</f>
        <v>0</v>
      </c>
      <c r="BE276" s="420">
        <v>0</v>
      </c>
      <c r="BF276" s="420">
        <f>M276</f>
        <v>3.0575609999999998</v>
      </c>
      <c r="BH276" s="420">
        <f>G276*AO276</f>
        <v>0</v>
      </c>
      <c r="BI276" s="420">
        <f>G276*AP276</f>
        <v>0</v>
      </c>
      <c r="BJ276" s="420">
        <f>G276*H276</f>
        <v>0</v>
      </c>
      <c r="BK276" s="420"/>
      <c r="BL276" s="420"/>
    </row>
    <row r="277" spans="1:64" ht="15" customHeight="1">
      <c r="A277" s="423"/>
      <c r="D277" s="424" t="s">
        <v>1344</v>
      </c>
      <c r="E277" s="424" t="s">
        <v>654</v>
      </c>
      <c r="G277" s="425">
        <v>1.8135000000000001</v>
      </c>
      <c r="N277" s="426"/>
    </row>
    <row r="278" spans="1:64" ht="15" customHeight="1">
      <c r="A278" s="416" t="s">
        <v>654</v>
      </c>
      <c r="B278" s="417" t="s">
        <v>654</v>
      </c>
      <c r="C278" s="417" t="s">
        <v>1053</v>
      </c>
      <c r="D278" s="455" t="s">
        <v>1054</v>
      </c>
      <c r="E278" s="455"/>
      <c r="F278" s="418" t="s">
        <v>608</v>
      </c>
      <c r="G278" s="418" t="s">
        <v>608</v>
      </c>
      <c r="H278" s="418"/>
      <c r="I278" s="400">
        <f>SUM(I279:I285)</f>
        <v>0</v>
      </c>
      <c r="J278" s="400">
        <f>SUM(J279:J285)</f>
        <v>0</v>
      </c>
      <c r="K278" s="400">
        <f>SUM(K279:K285)</f>
        <v>0</v>
      </c>
      <c r="L278" s="408" t="s">
        <v>654</v>
      </c>
      <c r="M278" s="400">
        <f>SUM(M279:M285)</f>
        <v>0</v>
      </c>
      <c r="N278" s="419" t="s">
        <v>654</v>
      </c>
      <c r="AI278" s="408" t="s">
        <v>654</v>
      </c>
      <c r="AS278" s="400">
        <f>SUM(AJ279:AJ285)</f>
        <v>0</v>
      </c>
      <c r="AT278" s="400">
        <f>SUM(AK279:AK285)</f>
        <v>0</v>
      </c>
      <c r="AU278" s="400">
        <f>SUM(AL279:AL285)</f>
        <v>0</v>
      </c>
    </row>
    <row r="279" spans="1:64" ht="15" customHeight="1">
      <c r="A279" s="401" t="s">
        <v>1070</v>
      </c>
      <c r="B279" s="402" t="s">
        <v>654</v>
      </c>
      <c r="C279" s="402" t="s">
        <v>1060</v>
      </c>
      <c r="D279" s="440" t="s">
        <v>1345</v>
      </c>
      <c r="E279" s="440"/>
      <c r="F279" s="402" t="s">
        <v>10</v>
      </c>
      <c r="G279" s="420">
        <v>2.4712200000000002</v>
      </c>
      <c r="H279" s="420"/>
      <c r="I279" s="420">
        <f>G279*AO279</f>
        <v>0</v>
      </c>
      <c r="J279" s="420">
        <f>G279*AP279</f>
        <v>0</v>
      </c>
      <c r="K279" s="420">
        <f>G279*H279</f>
        <v>0</v>
      </c>
      <c r="L279" s="420">
        <v>0</v>
      </c>
      <c r="M279" s="420">
        <f>G279*L279</f>
        <v>0</v>
      </c>
      <c r="N279" s="421" t="s">
        <v>1358</v>
      </c>
      <c r="Z279" s="420">
        <f>IF(AQ279="5",BJ279,0)</f>
        <v>0</v>
      </c>
      <c r="AB279" s="420">
        <f>IF(AQ279="1",BH279,0)</f>
        <v>0</v>
      </c>
      <c r="AC279" s="420">
        <f>IF(AQ279="1",BI279,0)</f>
        <v>0</v>
      </c>
      <c r="AD279" s="420">
        <f>IF(AQ279="7",BH279,0)</f>
        <v>0</v>
      </c>
      <c r="AE279" s="420">
        <f>IF(AQ279="7",BI279,0)</f>
        <v>0</v>
      </c>
      <c r="AF279" s="420">
        <f>IF(AQ279="2",BH279,0)</f>
        <v>0</v>
      </c>
      <c r="AG279" s="420">
        <f>IF(AQ279="2",BI279,0)</f>
        <v>0</v>
      </c>
      <c r="AH279" s="420">
        <f>IF(AQ279="0",BJ279,0)</f>
        <v>0</v>
      </c>
      <c r="AI279" s="408" t="s">
        <v>654</v>
      </c>
      <c r="AJ279" s="420">
        <f>IF(AN279=0,K279,0)</f>
        <v>0</v>
      </c>
      <c r="AK279" s="420">
        <f>IF(AN279=15,K279,0)</f>
        <v>0</v>
      </c>
      <c r="AL279" s="420">
        <f>IF(AN279=21,K279,0)</f>
        <v>0</v>
      </c>
      <c r="AN279" s="420">
        <v>21</v>
      </c>
      <c r="AO279" s="420">
        <f>H279*0</f>
        <v>0</v>
      </c>
      <c r="AP279" s="420">
        <f>H279*(1-0)</f>
        <v>0</v>
      </c>
      <c r="AQ279" s="422" t="s">
        <v>680</v>
      </c>
      <c r="AV279" s="420">
        <f>AW279+AX279</f>
        <v>0</v>
      </c>
      <c r="AW279" s="420">
        <f>G279*AO279</f>
        <v>0</v>
      </c>
      <c r="AX279" s="420">
        <f>G279*AP279</f>
        <v>0</v>
      </c>
      <c r="AY279" s="422" t="s">
        <v>1058</v>
      </c>
      <c r="AZ279" s="422" t="s">
        <v>1023</v>
      </c>
      <c r="BA279" s="408" t="s">
        <v>662</v>
      </c>
      <c r="BC279" s="420">
        <f>AW279+AX279</f>
        <v>0</v>
      </c>
      <c r="BD279" s="420">
        <f>H279/(100-BE279)*100</f>
        <v>0</v>
      </c>
      <c r="BE279" s="420">
        <v>0</v>
      </c>
      <c r="BF279" s="420">
        <f>M279</f>
        <v>0</v>
      </c>
      <c r="BH279" s="420">
        <f>G279*AO279</f>
        <v>0</v>
      </c>
      <c r="BI279" s="420">
        <f>G279*AP279</f>
        <v>0</v>
      </c>
      <c r="BJ279" s="420">
        <f>G279*H279</f>
        <v>0</v>
      </c>
      <c r="BK279" s="420"/>
      <c r="BL279" s="420"/>
    </row>
    <row r="280" spans="1:64" ht="15" customHeight="1">
      <c r="A280" s="423"/>
      <c r="D280" s="424" t="s">
        <v>1346</v>
      </c>
      <c r="E280" s="424" t="s">
        <v>654</v>
      </c>
      <c r="G280" s="425">
        <v>2.4712200000000002</v>
      </c>
      <c r="N280" s="426"/>
    </row>
    <row r="281" spans="1:64" ht="15" customHeight="1">
      <c r="A281" s="401" t="s">
        <v>1073</v>
      </c>
      <c r="B281" s="402" t="s">
        <v>654</v>
      </c>
      <c r="C281" s="402" t="s">
        <v>1062</v>
      </c>
      <c r="D281" s="440" t="s">
        <v>1063</v>
      </c>
      <c r="E281" s="440"/>
      <c r="F281" s="402" t="s">
        <v>10</v>
      </c>
      <c r="G281" s="420">
        <v>2.4712200000000002</v>
      </c>
      <c r="H281" s="420"/>
      <c r="I281" s="420">
        <f>G281*AO281</f>
        <v>0</v>
      </c>
      <c r="J281" s="420">
        <f>G281*AP281</f>
        <v>0</v>
      </c>
      <c r="K281" s="420">
        <f>G281*H281</f>
        <v>0</v>
      </c>
      <c r="L281" s="420">
        <v>0</v>
      </c>
      <c r="M281" s="420">
        <f>G281*L281</f>
        <v>0</v>
      </c>
      <c r="N281" s="421" t="s">
        <v>1358</v>
      </c>
      <c r="Z281" s="420">
        <f>IF(AQ281="5",BJ281,0)</f>
        <v>0</v>
      </c>
      <c r="AB281" s="420">
        <f>IF(AQ281="1",BH281,0)</f>
        <v>0</v>
      </c>
      <c r="AC281" s="420">
        <f>IF(AQ281="1",BI281,0)</f>
        <v>0</v>
      </c>
      <c r="AD281" s="420">
        <f>IF(AQ281="7",BH281,0)</f>
        <v>0</v>
      </c>
      <c r="AE281" s="420">
        <f>IF(AQ281="7",BI281,0)</f>
        <v>0</v>
      </c>
      <c r="AF281" s="420">
        <f>IF(AQ281="2",BH281,0)</f>
        <v>0</v>
      </c>
      <c r="AG281" s="420">
        <f>IF(AQ281="2",BI281,0)</f>
        <v>0</v>
      </c>
      <c r="AH281" s="420">
        <f>IF(AQ281="0",BJ281,0)</f>
        <v>0</v>
      </c>
      <c r="AI281" s="408" t="s">
        <v>654</v>
      </c>
      <c r="AJ281" s="420">
        <f>IF(AN281=0,K281,0)</f>
        <v>0</v>
      </c>
      <c r="AK281" s="420">
        <f>IF(AN281=15,K281,0)</f>
        <v>0</v>
      </c>
      <c r="AL281" s="420">
        <f>IF(AN281=21,K281,0)</f>
        <v>0</v>
      </c>
      <c r="AN281" s="420">
        <v>21</v>
      </c>
      <c r="AO281" s="420">
        <f>H281*0</f>
        <v>0</v>
      </c>
      <c r="AP281" s="420">
        <f>H281*(1-0)</f>
        <v>0</v>
      </c>
      <c r="AQ281" s="422" t="s">
        <v>680</v>
      </c>
      <c r="AV281" s="420">
        <f>AW281+AX281</f>
        <v>0</v>
      </c>
      <c r="AW281" s="420">
        <f>G281*AO281</f>
        <v>0</v>
      </c>
      <c r="AX281" s="420">
        <f>G281*AP281</f>
        <v>0</v>
      </c>
      <c r="AY281" s="422" t="s">
        <v>1058</v>
      </c>
      <c r="AZ281" s="422" t="s">
        <v>1023</v>
      </c>
      <c r="BA281" s="408" t="s">
        <v>662</v>
      </c>
      <c r="BC281" s="420">
        <f>AW281+AX281</f>
        <v>0</v>
      </c>
      <c r="BD281" s="420">
        <f>H281/(100-BE281)*100</f>
        <v>0</v>
      </c>
      <c r="BE281" s="420">
        <v>0</v>
      </c>
      <c r="BF281" s="420">
        <f>M281</f>
        <v>0</v>
      </c>
      <c r="BH281" s="420">
        <f>G281*AO281</f>
        <v>0</v>
      </c>
      <c r="BI281" s="420">
        <f>G281*AP281</f>
        <v>0</v>
      </c>
      <c r="BJ281" s="420">
        <f>G281*H281</f>
        <v>0</v>
      </c>
      <c r="BK281" s="420"/>
      <c r="BL281" s="420"/>
    </row>
    <row r="282" spans="1:64" ht="15" customHeight="1">
      <c r="A282" s="423"/>
      <c r="D282" s="424" t="s">
        <v>1346</v>
      </c>
      <c r="E282" s="424" t="s">
        <v>654</v>
      </c>
      <c r="G282" s="425">
        <v>2.4712200000000002</v>
      </c>
      <c r="N282" s="426"/>
    </row>
    <row r="283" spans="1:64" ht="15" customHeight="1">
      <c r="A283" s="401" t="s">
        <v>1078</v>
      </c>
      <c r="B283" s="402" t="s">
        <v>654</v>
      </c>
      <c r="C283" s="402" t="s">
        <v>1065</v>
      </c>
      <c r="D283" s="440" t="s">
        <v>1066</v>
      </c>
      <c r="E283" s="440"/>
      <c r="F283" s="402" t="s">
        <v>10</v>
      </c>
      <c r="G283" s="420">
        <v>46.953180000000003</v>
      </c>
      <c r="H283" s="420"/>
      <c r="I283" s="420">
        <f>G283*AO283</f>
        <v>0</v>
      </c>
      <c r="J283" s="420">
        <f>G283*AP283</f>
        <v>0</v>
      </c>
      <c r="K283" s="420">
        <f>G283*H283</f>
        <v>0</v>
      </c>
      <c r="L283" s="420">
        <v>0</v>
      </c>
      <c r="M283" s="420">
        <f>G283*L283</f>
        <v>0</v>
      </c>
      <c r="N283" s="421" t="s">
        <v>1358</v>
      </c>
      <c r="Z283" s="420">
        <f>IF(AQ283="5",BJ283,0)</f>
        <v>0</v>
      </c>
      <c r="AB283" s="420">
        <f>IF(AQ283="1",BH283,0)</f>
        <v>0</v>
      </c>
      <c r="AC283" s="420">
        <f>IF(AQ283="1",BI283,0)</f>
        <v>0</v>
      </c>
      <c r="AD283" s="420">
        <f>IF(AQ283="7",BH283,0)</f>
        <v>0</v>
      </c>
      <c r="AE283" s="420">
        <f>IF(AQ283="7",BI283,0)</f>
        <v>0</v>
      </c>
      <c r="AF283" s="420">
        <f>IF(AQ283="2",BH283,0)</f>
        <v>0</v>
      </c>
      <c r="AG283" s="420">
        <f>IF(AQ283="2",BI283,0)</f>
        <v>0</v>
      </c>
      <c r="AH283" s="420">
        <f>IF(AQ283="0",BJ283,0)</f>
        <v>0</v>
      </c>
      <c r="AI283" s="408" t="s">
        <v>654</v>
      </c>
      <c r="AJ283" s="420">
        <f>IF(AN283=0,K283,0)</f>
        <v>0</v>
      </c>
      <c r="AK283" s="420">
        <f>IF(AN283=15,K283,0)</f>
        <v>0</v>
      </c>
      <c r="AL283" s="420">
        <f>IF(AN283=21,K283,0)</f>
        <v>0</v>
      </c>
      <c r="AN283" s="420">
        <v>21</v>
      </c>
      <c r="AO283" s="420">
        <f>H283*0</f>
        <v>0</v>
      </c>
      <c r="AP283" s="420">
        <f>H283*(1-0)</f>
        <v>0</v>
      </c>
      <c r="AQ283" s="422" t="s">
        <v>680</v>
      </c>
      <c r="AV283" s="420">
        <f>AW283+AX283</f>
        <v>0</v>
      </c>
      <c r="AW283" s="420">
        <f>G283*AO283</f>
        <v>0</v>
      </c>
      <c r="AX283" s="420">
        <f>G283*AP283</f>
        <v>0</v>
      </c>
      <c r="AY283" s="422" t="s">
        <v>1058</v>
      </c>
      <c r="AZ283" s="422" t="s">
        <v>1023</v>
      </c>
      <c r="BA283" s="408" t="s">
        <v>662</v>
      </c>
      <c r="BC283" s="420">
        <f>AW283+AX283</f>
        <v>0</v>
      </c>
      <c r="BD283" s="420">
        <f>H283/(100-BE283)*100</f>
        <v>0</v>
      </c>
      <c r="BE283" s="420">
        <v>0</v>
      </c>
      <c r="BF283" s="420">
        <f>M283</f>
        <v>0</v>
      </c>
      <c r="BH283" s="420">
        <f>G283*AO283</f>
        <v>0</v>
      </c>
      <c r="BI283" s="420">
        <f>G283*AP283</f>
        <v>0</v>
      </c>
      <c r="BJ283" s="420">
        <f>G283*H283</f>
        <v>0</v>
      </c>
      <c r="BK283" s="420"/>
      <c r="BL283" s="420"/>
    </row>
    <row r="284" spans="1:64" ht="15" customHeight="1">
      <c r="A284" s="423"/>
      <c r="D284" s="424" t="s">
        <v>1347</v>
      </c>
      <c r="E284" s="424" t="s">
        <v>654</v>
      </c>
      <c r="G284" s="425">
        <v>46.953180000000003</v>
      </c>
      <c r="N284" s="426"/>
    </row>
    <row r="285" spans="1:64" ht="15" customHeight="1">
      <c r="A285" s="401" t="s">
        <v>1081</v>
      </c>
      <c r="B285" s="402" t="s">
        <v>654</v>
      </c>
      <c r="C285" s="402" t="s">
        <v>1348</v>
      </c>
      <c r="D285" s="440" t="s">
        <v>1349</v>
      </c>
      <c r="E285" s="440"/>
      <c r="F285" s="402" t="s">
        <v>10</v>
      </c>
      <c r="G285" s="420">
        <v>2.4712200000000002</v>
      </c>
      <c r="H285" s="420"/>
      <c r="I285" s="420">
        <f>G285*AO285</f>
        <v>0</v>
      </c>
      <c r="J285" s="420">
        <f>G285*AP285</f>
        <v>0</v>
      </c>
      <c r="K285" s="420">
        <f>G285*H285</f>
        <v>0</v>
      </c>
      <c r="L285" s="420">
        <v>0</v>
      </c>
      <c r="M285" s="420">
        <f>G285*L285</f>
        <v>0</v>
      </c>
      <c r="N285" s="421" t="s">
        <v>1358</v>
      </c>
      <c r="Z285" s="420">
        <f>IF(AQ285="5",BJ285,0)</f>
        <v>0</v>
      </c>
      <c r="AB285" s="420">
        <f>IF(AQ285="1",BH285,0)</f>
        <v>0</v>
      </c>
      <c r="AC285" s="420">
        <f>IF(AQ285="1",BI285,0)</f>
        <v>0</v>
      </c>
      <c r="AD285" s="420">
        <f>IF(AQ285="7",BH285,0)</f>
        <v>0</v>
      </c>
      <c r="AE285" s="420">
        <f>IF(AQ285="7",BI285,0)</f>
        <v>0</v>
      </c>
      <c r="AF285" s="420">
        <f>IF(AQ285="2",BH285,0)</f>
        <v>0</v>
      </c>
      <c r="AG285" s="420">
        <f>IF(AQ285="2",BI285,0)</f>
        <v>0</v>
      </c>
      <c r="AH285" s="420">
        <f>IF(AQ285="0",BJ285,0)</f>
        <v>0</v>
      </c>
      <c r="AI285" s="408" t="s">
        <v>654</v>
      </c>
      <c r="AJ285" s="420">
        <f>IF(AN285=0,K285,0)</f>
        <v>0</v>
      </c>
      <c r="AK285" s="420">
        <f>IF(AN285=15,K285,0)</f>
        <v>0</v>
      </c>
      <c r="AL285" s="420">
        <f>IF(AN285=21,K285,0)</f>
        <v>0</v>
      </c>
      <c r="AN285" s="420">
        <v>21</v>
      </c>
      <c r="AO285" s="420">
        <f>H285*0</f>
        <v>0</v>
      </c>
      <c r="AP285" s="420">
        <f>H285*(1-0)</f>
        <v>0</v>
      </c>
      <c r="AQ285" s="422" t="s">
        <v>680</v>
      </c>
      <c r="AV285" s="420">
        <f>AW285+AX285</f>
        <v>0</v>
      </c>
      <c r="AW285" s="420">
        <f>G285*AO285</f>
        <v>0</v>
      </c>
      <c r="AX285" s="420">
        <f>G285*AP285</f>
        <v>0</v>
      </c>
      <c r="AY285" s="422" t="s">
        <v>1058</v>
      </c>
      <c r="AZ285" s="422" t="s">
        <v>1023</v>
      </c>
      <c r="BA285" s="408" t="s">
        <v>662</v>
      </c>
      <c r="BC285" s="420">
        <f>AW285+AX285</f>
        <v>0</v>
      </c>
      <c r="BD285" s="420">
        <f>H285/(100-BE285)*100</f>
        <v>0</v>
      </c>
      <c r="BE285" s="420">
        <v>0</v>
      </c>
      <c r="BF285" s="420">
        <f>M285</f>
        <v>0</v>
      </c>
      <c r="BH285" s="420">
        <f>G285*AO285</f>
        <v>0</v>
      </c>
      <c r="BI285" s="420">
        <f>G285*AP285</f>
        <v>0</v>
      </c>
      <c r="BJ285" s="420">
        <f>G285*H285</f>
        <v>0</v>
      </c>
      <c r="BK285" s="420"/>
      <c r="BL285" s="420"/>
    </row>
    <row r="286" spans="1:64" ht="15" customHeight="1">
      <c r="A286" s="423"/>
      <c r="D286" s="424" t="s">
        <v>1346</v>
      </c>
      <c r="E286" s="424" t="s">
        <v>654</v>
      </c>
      <c r="G286" s="425">
        <v>2.4712200000000002</v>
      </c>
      <c r="N286" s="426"/>
    </row>
    <row r="287" spans="1:64" ht="15" customHeight="1">
      <c r="A287" s="416" t="s">
        <v>654</v>
      </c>
      <c r="B287" s="417" t="s">
        <v>654</v>
      </c>
      <c r="C287" s="417" t="s">
        <v>1071</v>
      </c>
      <c r="D287" s="455" t="s">
        <v>1072</v>
      </c>
      <c r="E287" s="455"/>
      <c r="F287" s="418" t="s">
        <v>608</v>
      </c>
      <c r="G287" s="418" t="s">
        <v>608</v>
      </c>
      <c r="H287" s="418"/>
      <c r="I287" s="400">
        <f>SUM(I288:I291)</f>
        <v>0</v>
      </c>
      <c r="J287" s="400">
        <f>SUM(J288:J291)</f>
        <v>0</v>
      </c>
      <c r="K287" s="400">
        <f>SUM(K288:K291)</f>
        <v>0</v>
      </c>
      <c r="L287" s="408" t="s">
        <v>654</v>
      </c>
      <c r="M287" s="400">
        <f>SUM(M288:M291)</f>
        <v>0</v>
      </c>
      <c r="N287" s="419" t="s">
        <v>654</v>
      </c>
      <c r="AI287" s="408" t="s">
        <v>654</v>
      </c>
      <c r="AS287" s="400">
        <f>SUM(AJ288:AJ291)</f>
        <v>0</v>
      </c>
      <c r="AT287" s="400">
        <f>SUM(AK288:AK291)</f>
        <v>0</v>
      </c>
      <c r="AU287" s="400">
        <f>SUM(AL288:AL291)</f>
        <v>0</v>
      </c>
    </row>
    <row r="288" spans="1:64" ht="15" customHeight="1">
      <c r="A288" s="401" t="s">
        <v>1084</v>
      </c>
      <c r="B288" s="402" t="s">
        <v>654</v>
      </c>
      <c r="C288" s="402" t="s">
        <v>1074</v>
      </c>
      <c r="D288" s="440" t="s">
        <v>1075</v>
      </c>
      <c r="E288" s="440"/>
      <c r="F288" s="402" t="s">
        <v>1076</v>
      </c>
      <c r="G288" s="420">
        <v>3.25</v>
      </c>
      <c r="H288" s="420"/>
      <c r="I288" s="420">
        <f>G288*AO288</f>
        <v>0</v>
      </c>
      <c r="J288" s="420">
        <f>G288*AP288</f>
        <v>0</v>
      </c>
      <c r="K288" s="420">
        <f>G288*H288</f>
        <v>0</v>
      </c>
      <c r="L288" s="420">
        <v>0</v>
      </c>
      <c r="M288" s="420">
        <f>G288*L288</f>
        <v>0</v>
      </c>
      <c r="N288" s="421" t="s">
        <v>654</v>
      </c>
      <c r="Z288" s="420">
        <f>IF(AQ288="5",BJ288,0)</f>
        <v>0</v>
      </c>
      <c r="AB288" s="420">
        <f>IF(AQ288="1",BH288,0)</f>
        <v>0</v>
      </c>
      <c r="AC288" s="420">
        <f>IF(AQ288="1",BI288,0)</f>
        <v>0</v>
      </c>
      <c r="AD288" s="420">
        <f>IF(AQ288="7",BH288,0)</f>
        <v>0</v>
      </c>
      <c r="AE288" s="420">
        <f>IF(AQ288="7",BI288,0)</f>
        <v>0</v>
      </c>
      <c r="AF288" s="420">
        <f>IF(AQ288="2",BH288,0)</f>
        <v>0</v>
      </c>
      <c r="AG288" s="420">
        <f>IF(AQ288="2",BI288,0)</f>
        <v>0</v>
      </c>
      <c r="AH288" s="420">
        <f>IF(AQ288="0",BJ288,0)</f>
        <v>0</v>
      </c>
      <c r="AI288" s="408" t="s">
        <v>654</v>
      </c>
      <c r="AJ288" s="420">
        <f>IF(AN288=0,K288,0)</f>
        <v>0</v>
      </c>
      <c r="AK288" s="420">
        <f>IF(AN288=15,K288,0)</f>
        <v>0</v>
      </c>
      <c r="AL288" s="420">
        <f>IF(AN288=21,K288,0)</f>
        <v>0</v>
      </c>
      <c r="AN288" s="420">
        <v>21</v>
      </c>
      <c r="AO288" s="420">
        <f>H288*0</f>
        <v>0</v>
      </c>
      <c r="AP288" s="420">
        <f>H288*(1-0)</f>
        <v>0</v>
      </c>
      <c r="AQ288" s="422" t="s">
        <v>657</v>
      </c>
      <c r="AV288" s="420">
        <f>AW288+AX288</f>
        <v>0</v>
      </c>
      <c r="AW288" s="420">
        <f>G288*AO288</f>
        <v>0</v>
      </c>
      <c r="AX288" s="420">
        <f>G288*AP288</f>
        <v>0</v>
      </c>
      <c r="AY288" s="422" t="s">
        <v>1077</v>
      </c>
      <c r="AZ288" s="422" t="s">
        <v>661</v>
      </c>
      <c r="BA288" s="408" t="s">
        <v>662</v>
      </c>
      <c r="BC288" s="420">
        <f>AW288+AX288</f>
        <v>0</v>
      </c>
      <c r="BD288" s="420">
        <f>H288/(100-BE288)*100</f>
        <v>0</v>
      </c>
      <c r="BE288" s="420">
        <v>0</v>
      </c>
      <c r="BF288" s="420">
        <f>M288</f>
        <v>0</v>
      </c>
      <c r="BH288" s="420">
        <f>G288*AO288</f>
        <v>0</v>
      </c>
      <c r="BI288" s="420">
        <f>G288*AP288</f>
        <v>0</v>
      </c>
      <c r="BJ288" s="420">
        <f>G288*H288</f>
        <v>0</v>
      </c>
      <c r="BK288" s="420"/>
      <c r="BL288" s="420"/>
    </row>
    <row r="289" spans="1:64" ht="15" customHeight="1">
      <c r="A289" s="401" t="s">
        <v>1350</v>
      </c>
      <c r="B289" s="402" t="s">
        <v>654</v>
      </c>
      <c r="C289" s="402" t="s">
        <v>1079</v>
      </c>
      <c r="D289" s="440" t="s">
        <v>1080</v>
      </c>
      <c r="E289" s="440"/>
      <c r="F289" s="402" t="s">
        <v>1076</v>
      </c>
      <c r="G289" s="420">
        <v>2.35</v>
      </c>
      <c r="H289" s="420"/>
      <c r="I289" s="420">
        <f>G289*AO289</f>
        <v>0</v>
      </c>
      <c r="J289" s="420">
        <f>G289*AP289</f>
        <v>0</v>
      </c>
      <c r="K289" s="420">
        <f>G289*H289</f>
        <v>0</v>
      </c>
      <c r="L289" s="420">
        <v>0</v>
      </c>
      <c r="M289" s="420">
        <f>G289*L289</f>
        <v>0</v>
      </c>
      <c r="N289" s="421" t="s">
        <v>654</v>
      </c>
      <c r="Z289" s="420">
        <f>IF(AQ289="5",BJ289,0)</f>
        <v>0</v>
      </c>
      <c r="AB289" s="420">
        <f>IF(AQ289="1",BH289,0)</f>
        <v>0</v>
      </c>
      <c r="AC289" s="420">
        <f>IF(AQ289="1",BI289,0)</f>
        <v>0</v>
      </c>
      <c r="AD289" s="420">
        <f>IF(AQ289="7",BH289,0)</f>
        <v>0</v>
      </c>
      <c r="AE289" s="420">
        <f>IF(AQ289="7",BI289,0)</f>
        <v>0</v>
      </c>
      <c r="AF289" s="420">
        <f>IF(AQ289="2",BH289,0)</f>
        <v>0</v>
      </c>
      <c r="AG289" s="420">
        <f>IF(AQ289="2",BI289,0)</f>
        <v>0</v>
      </c>
      <c r="AH289" s="420">
        <f>IF(AQ289="0",BJ289,0)</f>
        <v>0</v>
      </c>
      <c r="AI289" s="408" t="s">
        <v>654</v>
      </c>
      <c r="AJ289" s="420">
        <f>IF(AN289=0,K289,0)</f>
        <v>0</v>
      </c>
      <c r="AK289" s="420">
        <f>IF(AN289=15,K289,0)</f>
        <v>0</v>
      </c>
      <c r="AL289" s="420">
        <f>IF(AN289=21,K289,0)</f>
        <v>0</v>
      </c>
      <c r="AN289" s="420">
        <v>21</v>
      </c>
      <c r="AO289" s="420">
        <f>H289*0</f>
        <v>0</v>
      </c>
      <c r="AP289" s="420">
        <f>H289*(1-0)</f>
        <v>0</v>
      </c>
      <c r="AQ289" s="422" t="s">
        <v>657</v>
      </c>
      <c r="AV289" s="420">
        <f>AW289+AX289</f>
        <v>0</v>
      </c>
      <c r="AW289" s="420">
        <f>G289*AO289</f>
        <v>0</v>
      </c>
      <c r="AX289" s="420">
        <f>G289*AP289</f>
        <v>0</v>
      </c>
      <c r="AY289" s="422" t="s">
        <v>1077</v>
      </c>
      <c r="AZ289" s="422" t="s">
        <v>661</v>
      </c>
      <c r="BA289" s="408" t="s">
        <v>662</v>
      </c>
      <c r="BC289" s="420">
        <f>AW289+AX289</f>
        <v>0</v>
      </c>
      <c r="BD289" s="420">
        <f>H289/(100-BE289)*100</f>
        <v>0</v>
      </c>
      <c r="BE289" s="420">
        <v>0</v>
      </c>
      <c r="BF289" s="420">
        <f>M289</f>
        <v>0</v>
      </c>
      <c r="BH289" s="420">
        <f>G289*AO289</f>
        <v>0</v>
      </c>
      <c r="BI289" s="420">
        <f>G289*AP289</f>
        <v>0</v>
      </c>
      <c r="BJ289" s="420">
        <f>G289*H289</f>
        <v>0</v>
      </c>
      <c r="BK289" s="420"/>
      <c r="BL289" s="420"/>
    </row>
    <row r="290" spans="1:64" ht="15" customHeight="1">
      <c r="A290" s="401" t="s">
        <v>1351</v>
      </c>
      <c r="B290" s="402" t="s">
        <v>654</v>
      </c>
      <c r="C290" s="402" t="s">
        <v>1082</v>
      </c>
      <c r="D290" s="440" t="s">
        <v>1083</v>
      </c>
      <c r="E290" s="440"/>
      <c r="F290" s="402" t="s">
        <v>1076</v>
      </c>
      <c r="G290" s="420">
        <v>1.6</v>
      </c>
      <c r="H290" s="420"/>
      <c r="I290" s="420">
        <f>G290*AO290</f>
        <v>0</v>
      </c>
      <c r="J290" s="420">
        <f>G290*AP290</f>
        <v>0</v>
      </c>
      <c r="K290" s="420">
        <f>G290*H290</f>
        <v>0</v>
      </c>
      <c r="L290" s="420">
        <v>0</v>
      </c>
      <c r="M290" s="420">
        <f>G290*L290</f>
        <v>0</v>
      </c>
      <c r="N290" s="421" t="s">
        <v>654</v>
      </c>
      <c r="Z290" s="420">
        <f>IF(AQ290="5",BJ290,0)</f>
        <v>0</v>
      </c>
      <c r="AB290" s="420">
        <f>IF(AQ290="1",BH290,0)</f>
        <v>0</v>
      </c>
      <c r="AC290" s="420">
        <f>IF(AQ290="1",BI290,0)</f>
        <v>0</v>
      </c>
      <c r="AD290" s="420">
        <f>IF(AQ290="7",BH290,0)</f>
        <v>0</v>
      </c>
      <c r="AE290" s="420">
        <f>IF(AQ290="7",BI290,0)</f>
        <v>0</v>
      </c>
      <c r="AF290" s="420">
        <f>IF(AQ290="2",BH290,0)</f>
        <v>0</v>
      </c>
      <c r="AG290" s="420">
        <f>IF(AQ290="2",BI290,0)</f>
        <v>0</v>
      </c>
      <c r="AH290" s="420">
        <f>IF(AQ290="0",BJ290,0)</f>
        <v>0</v>
      </c>
      <c r="AI290" s="408" t="s">
        <v>654</v>
      </c>
      <c r="AJ290" s="420">
        <f>IF(AN290=0,K290,0)</f>
        <v>0</v>
      </c>
      <c r="AK290" s="420">
        <f>IF(AN290=15,K290,0)</f>
        <v>0</v>
      </c>
      <c r="AL290" s="420">
        <f>IF(AN290=21,K290,0)</f>
        <v>0</v>
      </c>
      <c r="AN290" s="420">
        <v>21</v>
      </c>
      <c r="AO290" s="420">
        <f>H290*0</f>
        <v>0</v>
      </c>
      <c r="AP290" s="420">
        <f>H290*(1-0)</f>
        <v>0</v>
      </c>
      <c r="AQ290" s="422" t="s">
        <v>657</v>
      </c>
      <c r="AV290" s="420">
        <f>AW290+AX290</f>
        <v>0</v>
      </c>
      <c r="AW290" s="420">
        <f>G290*AO290</f>
        <v>0</v>
      </c>
      <c r="AX290" s="420">
        <f>G290*AP290</f>
        <v>0</v>
      </c>
      <c r="AY290" s="422" t="s">
        <v>1077</v>
      </c>
      <c r="AZ290" s="422" t="s">
        <v>661</v>
      </c>
      <c r="BA290" s="408" t="s">
        <v>662</v>
      </c>
      <c r="BC290" s="420">
        <f>AW290+AX290</f>
        <v>0</v>
      </c>
      <c r="BD290" s="420">
        <f>H290/(100-BE290)*100</f>
        <v>0</v>
      </c>
      <c r="BE290" s="420">
        <v>0</v>
      </c>
      <c r="BF290" s="420">
        <f>M290</f>
        <v>0</v>
      </c>
      <c r="BH290" s="420">
        <f>G290*AO290</f>
        <v>0</v>
      </c>
      <c r="BI290" s="420">
        <f>G290*AP290</f>
        <v>0</v>
      </c>
      <c r="BJ290" s="420">
        <f>G290*H290</f>
        <v>0</v>
      </c>
      <c r="BK290" s="420"/>
      <c r="BL290" s="420"/>
    </row>
    <row r="291" spans="1:64" ht="15" customHeight="1">
      <c r="A291" s="427" t="s">
        <v>1352</v>
      </c>
      <c r="B291" s="428" t="s">
        <v>654</v>
      </c>
      <c r="C291" s="428" t="s">
        <v>1085</v>
      </c>
      <c r="D291" s="456" t="s">
        <v>1086</v>
      </c>
      <c r="E291" s="456"/>
      <c r="F291" s="428" t="s">
        <v>1076</v>
      </c>
      <c r="G291" s="429">
        <v>1.5</v>
      </c>
      <c r="H291" s="429"/>
      <c r="I291" s="429">
        <f>G291*AO291</f>
        <v>0</v>
      </c>
      <c r="J291" s="429">
        <f>G291*AP291</f>
        <v>0</v>
      </c>
      <c r="K291" s="429">
        <f>G291*H291</f>
        <v>0</v>
      </c>
      <c r="L291" s="429">
        <v>0</v>
      </c>
      <c r="M291" s="429">
        <f>G291*L291</f>
        <v>0</v>
      </c>
      <c r="N291" s="430" t="s">
        <v>654</v>
      </c>
      <c r="Z291" s="420">
        <f>IF(AQ291="5",BJ291,0)</f>
        <v>0</v>
      </c>
      <c r="AB291" s="420">
        <f>IF(AQ291="1",BH291,0)</f>
        <v>0</v>
      </c>
      <c r="AC291" s="420">
        <f>IF(AQ291="1",BI291,0)</f>
        <v>0</v>
      </c>
      <c r="AD291" s="420">
        <f>IF(AQ291="7",BH291,0)</f>
        <v>0</v>
      </c>
      <c r="AE291" s="420">
        <f>IF(AQ291="7",BI291,0)</f>
        <v>0</v>
      </c>
      <c r="AF291" s="420">
        <f>IF(AQ291="2",BH291,0)</f>
        <v>0</v>
      </c>
      <c r="AG291" s="420">
        <f>IF(AQ291="2",BI291,0)</f>
        <v>0</v>
      </c>
      <c r="AH291" s="420">
        <f>IF(AQ291="0",BJ291,0)</f>
        <v>0</v>
      </c>
      <c r="AI291" s="408" t="s">
        <v>654</v>
      </c>
      <c r="AJ291" s="420">
        <f>IF(AN291=0,K291,0)</f>
        <v>0</v>
      </c>
      <c r="AK291" s="420">
        <f>IF(AN291=15,K291,0)</f>
        <v>0</v>
      </c>
      <c r="AL291" s="420">
        <f>IF(AN291=21,K291,0)</f>
        <v>0</v>
      </c>
      <c r="AN291" s="420">
        <v>21</v>
      </c>
      <c r="AO291" s="420">
        <f>H291*0</f>
        <v>0</v>
      </c>
      <c r="AP291" s="420">
        <f>H291*(1-0)</f>
        <v>0</v>
      </c>
      <c r="AQ291" s="422" t="s">
        <v>657</v>
      </c>
      <c r="AV291" s="420">
        <f>AW291+AX291</f>
        <v>0</v>
      </c>
      <c r="AW291" s="420">
        <f>G291*AO291</f>
        <v>0</v>
      </c>
      <c r="AX291" s="420">
        <f>G291*AP291</f>
        <v>0</v>
      </c>
      <c r="AY291" s="422" t="s">
        <v>1077</v>
      </c>
      <c r="AZ291" s="422" t="s">
        <v>661</v>
      </c>
      <c r="BA291" s="408" t="s">
        <v>662</v>
      </c>
      <c r="BC291" s="420">
        <f>AW291+AX291</f>
        <v>0</v>
      </c>
      <c r="BD291" s="420">
        <f>H291/(100-BE291)*100</f>
        <v>0</v>
      </c>
      <c r="BE291" s="420">
        <v>0</v>
      </c>
      <c r="BF291" s="420">
        <f>M291</f>
        <v>0</v>
      </c>
      <c r="BH291" s="420">
        <f>G291*AO291</f>
        <v>0</v>
      </c>
      <c r="BI291" s="420">
        <f>G291*AP291</f>
        <v>0</v>
      </c>
      <c r="BJ291" s="420">
        <f>G291*H291</f>
        <v>0</v>
      </c>
      <c r="BK291" s="420"/>
      <c r="BL291" s="420"/>
    </row>
    <row r="292" spans="1:64" ht="15" customHeight="1">
      <c r="I292" s="442" t="s">
        <v>1087</v>
      </c>
      <c r="J292" s="442"/>
      <c r="K292" s="431">
        <f>K12+K17+K24+K37+K52+K77+K98+K101+K110+K115+K120+K123+K132+K135+K139+K142+K158+K161+K174+K181+K216+K234+K239+K246+K249+K253+K260+K263+K266+K269+K275+K278+K287</f>
        <v>0</v>
      </c>
    </row>
    <row r="293" spans="1:64" ht="15" customHeight="1">
      <c r="A293" s="432" t="s">
        <v>99</v>
      </c>
    </row>
    <row r="294" spans="1:64" ht="12.75" customHeight="1">
      <c r="A294" s="447" t="s">
        <v>654</v>
      </c>
      <c r="B294" s="440"/>
      <c r="C294" s="440"/>
      <c r="D294" s="440"/>
      <c r="E294" s="440"/>
      <c r="F294" s="440"/>
      <c r="G294" s="440"/>
      <c r="H294" s="440"/>
      <c r="I294" s="440"/>
      <c r="J294" s="440"/>
      <c r="K294" s="440"/>
      <c r="L294" s="440"/>
      <c r="M294" s="440"/>
      <c r="N294" s="440"/>
    </row>
  </sheetData>
  <mergeCells count="176">
    <mergeCell ref="A294:N294"/>
    <mergeCell ref="D287:E287"/>
    <mergeCell ref="D288:E288"/>
    <mergeCell ref="D289:E289"/>
    <mergeCell ref="D290:E290"/>
    <mergeCell ref="D291:E291"/>
    <mergeCell ref="I292:J292"/>
    <mergeCell ref="D276:E276"/>
    <mergeCell ref="D278:E278"/>
    <mergeCell ref="D279:E279"/>
    <mergeCell ref="D281:E281"/>
    <mergeCell ref="D283:E283"/>
    <mergeCell ref="D285:E285"/>
    <mergeCell ref="D267:E267"/>
    <mergeCell ref="D269:E269"/>
    <mergeCell ref="D270:E270"/>
    <mergeCell ref="D273:E273"/>
    <mergeCell ref="D274:E274"/>
    <mergeCell ref="D275:E275"/>
    <mergeCell ref="D254:E254"/>
    <mergeCell ref="D260:E260"/>
    <mergeCell ref="D261:E261"/>
    <mergeCell ref="D263:E263"/>
    <mergeCell ref="D264:E264"/>
    <mergeCell ref="D266:E266"/>
    <mergeCell ref="D244:E244"/>
    <mergeCell ref="D246:E246"/>
    <mergeCell ref="D247:E247"/>
    <mergeCell ref="D249:E249"/>
    <mergeCell ref="D250:E250"/>
    <mergeCell ref="D253:E253"/>
    <mergeCell ref="D234:E234"/>
    <mergeCell ref="D235:E235"/>
    <mergeCell ref="D237:E237"/>
    <mergeCell ref="D239:E239"/>
    <mergeCell ref="D240:E240"/>
    <mergeCell ref="D242:E242"/>
    <mergeCell ref="D221:E221"/>
    <mergeCell ref="D223:E223"/>
    <mergeCell ref="D225:E225"/>
    <mergeCell ref="D227:E227"/>
    <mergeCell ref="D230:E230"/>
    <mergeCell ref="D232:E232"/>
    <mergeCell ref="D211:E211"/>
    <mergeCell ref="D214:E214"/>
    <mergeCell ref="D215:E215"/>
    <mergeCell ref="D216:E216"/>
    <mergeCell ref="D217:E217"/>
    <mergeCell ref="D219:E219"/>
    <mergeCell ref="D203:E203"/>
    <mergeCell ref="D204:E204"/>
    <mergeCell ref="D205:E205"/>
    <mergeCell ref="D206:E206"/>
    <mergeCell ref="D209:E209"/>
    <mergeCell ref="D210:E210"/>
    <mergeCell ref="D190:E190"/>
    <mergeCell ref="D191:E191"/>
    <mergeCell ref="D199:E199"/>
    <mergeCell ref="D200:E200"/>
    <mergeCell ref="D201:E201"/>
    <mergeCell ref="D202:E202"/>
    <mergeCell ref="D179:E179"/>
    <mergeCell ref="D181:E181"/>
    <mergeCell ref="D182:E182"/>
    <mergeCell ref="D187:E187"/>
    <mergeCell ref="D188:E188"/>
    <mergeCell ref="D189:E189"/>
    <mergeCell ref="D166:E166"/>
    <mergeCell ref="D168:E168"/>
    <mergeCell ref="D170:E170"/>
    <mergeCell ref="D172:E172"/>
    <mergeCell ref="D174:E174"/>
    <mergeCell ref="D175:E175"/>
    <mergeCell ref="D155:E155"/>
    <mergeCell ref="D158:E158"/>
    <mergeCell ref="D159:E159"/>
    <mergeCell ref="D161:E161"/>
    <mergeCell ref="D162:E162"/>
    <mergeCell ref="D164:E164"/>
    <mergeCell ref="D140:E140"/>
    <mergeCell ref="D142:E142"/>
    <mergeCell ref="D143:E143"/>
    <mergeCell ref="D147:E147"/>
    <mergeCell ref="D150:E150"/>
    <mergeCell ref="D153:E153"/>
    <mergeCell ref="D128:E128"/>
    <mergeCell ref="D132:E132"/>
    <mergeCell ref="D133:E133"/>
    <mergeCell ref="D135:E135"/>
    <mergeCell ref="D136:E136"/>
    <mergeCell ref="D139:E139"/>
    <mergeCell ref="D116:E116"/>
    <mergeCell ref="D118:E118"/>
    <mergeCell ref="D120:E120"/>
    <mergeCell ref="D121:E121"/>
    <mergeCell ref="D123:E123"/>
    <mergeCell ref="D124:E124"/>
    <mergeCell ref="D106:E106"/>
    <mergeCell ref="D108:E108"/>
    <mergeCell ref="D110:E110"/>
    <mergeCell ref="D111:E111"/>
    <mergeCell ref="D113:E113"/>
    <mergeCell ref="D115:E115"/>
    <mergeCell ref="D96:E96"/>
    <mergeCell ref="D98:E98"/>
    <mergeCell ref="D99:E99"/>
    <mergeCell ref="D101:E101"/>
    <mergeCell ref="D102:E102"/>
    <mergeCell ref="D104:E104"/>
    <mergeCell ref="D77:E77"/>
    <mergeCell ref="D78:E78"/>
    <mergeCell ref="D84:E84"/>
    <mergeCell ref="D88:E88"/>
    <mergeCell ref="D92:E92"/>
    <mergeCell ref="D94:E94"/>
    <mergeCell ref="D62:E62"/>
    <mergeCell ref="D64:E64"/>
    <mergeCell ref="D67:E67"/>
    <mergeCell ref="D69:E69"/>
    <mergeCell ref="D73:E73"/>
    <mergeCell ref="D75:E75"/>
    <mergeCell ref="D48:E48"/>
    <mergeCell ref="D50:E50"/>
    <mergeCell ref="D52:E52"/>
    <mergeCell ref="D53:E53"/>
    <mergeCell ref="D56:E56"/>
    <mergeCell ref="D59:E59"/>
    <mergeCell ref="D37:E37"/>
    <mergeCell ref="D38:E38"/>
    <mergeCell ref="D40:E40"/>
    <mergeCell ref="D42:E42"/>
    <mergeCell ref="D44:E44"/>
    <mergeCell ref="D46:E46"/>
    <mergeCell ref="D25:E25"/>
    <mergeCell ref="D27:E27"/>
    <mergeCell ref="D29:E29"/>
    <mergeCell ref="D31:E31"/>
    <mergeCell ref="D33:E33"/>
    <mergeCell ref="D35:E35"/>
    <mergeCell ref="D15:E15"/>
    <mergeCell ref="D17:E17"/>
    <mergeCell ref="D18:E18"/>
    <mergeCell ref="D20:E20"/>
    <mergeCell ref="D22:E22"/>
    <mergeCell ref="D24:E24"/>
    <mergeCell ref="D10:E10"/>
    <mergeCell ref="I10:K10"/>
    <mergeCell ref="L10:M10"/>
    <mergeCell ref="D11:E11"/>
    <mergeCell ref="D12:E12"/>
    <mergeCell ref="D13:E13"/>
    <mergeCell ref="A8:C9"/>
    <mergeCell ref="D8:D9"/>
    <mergeCell ref="E8:E9"/>
    <mergeCell ref="F8:G9"/>
    <mergeCell ref="H8:H9"/>
    <mergeCell ref="I8:N9"/>
    <mergeCell ref="A1:N1"/>
    <mergeCell ref="A2:C3"/>
    <mergeCell ref="D2:D3"/>
    <mergeCell ref="E2:E3"/>
    <mergeCell ref="F2:G3"/>
    <mergeCell ref="H2:H3"/>
    <mergeCell ref="I2:N3"/>
    <mergeCell ref="A6:C7"/>
    <mergeCell ref="D6:D7"/>
    <mergeCell ref="E6:E7"/>
    <mergeCell ref="F6:G7"/>
    <mergeCell ref="H6:H7"/>
    <mergeCell ref="I6:N7"/>
    <mergeCell ref="A4:C5"/>
    <mergeCell ref="D4:D5"/>
    <mergeCell ref="E4:E5"/>
    <mergeCell ref="F4:G5"/>
    <mergeCell ref="H4:H5"/>
    <mergeCell ref="I4:N5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D667E-DD82-4FCA-82CA-547360D91DF8}">
  <sheetPr>
    <pageSetUpPr autoPageBreaks="0" fitToPage="1"/>
  </sheetPr>
  <dimension ref="A1:BV365"/>
  <sheetViews>
    <sheetView showOutlineSymbols="0" workbookViewId="0">
      <pane ySplit="11" topLeftCell="A334" activePane="bottomLeft" state="frozenSplit"/>
      <selection activeCell="A365" sqref="A365:N365"/>
      <selection pane="bottomLeft" activeCell="K363" sqref="K363"/>
    </sheetView>
  </sheetViews>
  <sheetFormatPr defaultColWidth="14.1640625" defaultRowHeight="15" customHeight="1"/>
  <cols>
    <col min="1" max="1" width="4.6640625" style="399" customWidth="1"/>
    <col min="2" max="2" width="8.83203125" style="399" customWidth="1"/>
    <col min="3" max="3" width="20.83203125" style="399" customWidth="1"/>
    <col min="4" max="4" width="70" style="399" customWidth="1"/>
    <col min="5" max="5" width="6" style="399" customWidth="1"/>
    <col min="6" max="6" width="6.83203125" style="399" customWidth="1"/>
    <col min="7" max="7" width="15" style="399" customWidth="1"/>
    <col min="8" max="8" width="14" style="399" customWidth="1"/>
    <col min="9" max="11" width="18.33203125" style="399" customWidth="1"/>
    <col min="12" max="13" width="13.6640625" style="399" customWidth="1"/>
    <col min="14" max="14" width="15.6640625" style="399" customWidth="1"/>
    <col min="15" max="24" width="14.1640625" style="399"/>
    <col min="25" max="74" width="14.1640625" style="399" hidden="1" customWidth="1"/>
    <col min="75" max="256" width="14.1640625" style="399"/>
    <col min="257" max="257" width="4.6640625" style="399" customWidth="1"/>
    <col min="258" max="258" width="8.83203125" style="399" customWidth="1"/>
    <col min="259" max="259" width="20.83203125" style="399" customWidth="1"/>
    <col min="260" max="260" width="70" style="399" customWidth="1"/>
    <col min="261" max="261" width="6" style="399" customWidth="1"/>
    <col min="262" max="262" width="6.83203125" style="399" customWidth="1"/>
    <col min="263" max="263" width="15" style="399" customWidth="1"/>
    <col min="264" max="264" width="14" style="399" customWidth="1"/>
    <col min="265" max="267" width="18.33203125" style="399" customWidth="1"/>
    <col min="268" max="269" width="13.6640625" style="399" customWidth="1"/>
    <col min="270" max="270" width="15.6640625" style="399" customWidth="1"/>
    <col min="271" max="280" width="14.1640625" style="399"/>
    <col min="281" max="330" width="0" style="399" hidden="1" customWidth="1"/>
    <col min="331" max="512" width="14.1640625" style="399"/>
    <col min="513" max="513" width="4.6640625" style="399" customWidth="1"/>
    <col min="514" max="514" width="8.83203125" style="399" customWidth="1"/>
    <col min="515" max="515" width="20.83203125" style="399" customWidth="1"/>
    <col min="516" max="516" width="70" style="399" customWidth="1"/>
    <col min="517" max="517" width="6" style="399" customWidth="1"/>
    <col min="518" max="518" width="6.83203125" style="399" customWidth="1"/>
    <col min="519" max="519" width="15" style="399" customWidth="1"/>
    <col min="520" max="520" width="14" style="399" customWidth="1"/>
    <col min="521" max="523" width="18.33203125" style="399" customWidth="1"/>
    <col min="524" max="525" width="13.6640625" style="399" customWidth="1"/>
    <col min="526" max="526" width="15.6640625" style="399" customWidth="1"/>
    <col min="527" max="536" width="14.1640625" style="399"/>
    <col min="537" max="586" width="0" style="399" hidden="1" customWidth="1"/>
    <col min="587" max="768" width="14.1640625" style="399"/>
    <col min="769" max="769" width="4.6640625" style="399" customWidth="1"/>
    <col min="770" max="770" width="8.83203125" style="399" customWidth="1"/>
    <col min="771" max="771" width="20.83203125" style="399" customWidth="1"/>
    <col min="772" max="772" width="70" style="399" customWidth="1"/>
    <col min="773" max="773" width="6" style="399" customWidth="1"/>
    <col min="774" max="774" width="6.83203125" style="399" customWidth="1"/>
    <col min="775" max="775" width="15" style="399" customWidth="1"/>
    <col min="776" max="776" width="14" style="399" customWidth="1"/>
    <col min="777" max="779" width="18.33203125" style="399" customWidth="1"/>
    <col min="780" max="781" width="13.6640625" style="399" customWidth="1"/>
    <col min="782" max="782" width="15.6640625" style="399" customWidth="1"/>
    <col min="783" max="792" width="14.1640625" style="399"/>
    <col min="793" max="842" width="0" style="399" hidden="1" customWidth="1"/>
    <col min="843" max="1024" width="14.1640625" style="399"/>
    <col min="1025" max="1025" width="4.6640625" style="399" customWidth="1"/>
    <col min="1026" max="1026" width="8.83203125" style="399" customWidth="1"/>
    <col min="1027" max="1027" width="20.83203125" style="399" customWidth="1"/>
    <col min="1028" max="1028" width="70" style="399" customWidth="1"/>
    <col min="1029" max="1029" width="6" style="399" customWidth="1"/>
    <col min="1030" max="1030" width="6.83203125" style="399" customWidth="1"/>
    <col min="1031" max="1031" width="15" style="399" customWidth="1"/>
    <col min="1032" max="1032" width="14" style="399" customWidth="1"/>
    <col min="1033" max="1035" width="18.33203125" style="399" customWidth="1"/>
    <col min="1036" max="1037" width="13.6640625" style="399" customWidth="1"/>
    <col min="1038" max="1038" width="15.6640625" style="399" customWidth="1"/>
    <col min="1039" max="1048" width="14.1640625" style="399"/>
    <col min="1049" max="1098" width="0" style="399" hidden="1" customWidth="1"/>
    <col min="1099" max="1280" width="14.1640625" style="399"/>
    <col min="1281" max="1281" width="4.6640625" style="399" customWidth="1"/>
    <col min="1282" max="1282" width="8.83203125" style="399" customWidth="1"/>
    <col min="1283" max="1283" width="20.83203125" style="399" customWidth="1"/>
    <col min="1284" max="1284" width="70" style="399" customWidth="1"/>
    <col min="1285" max="1285" width="6" style="399" customWidth="1"/>
    <col min="1286" max="1286" width="6.83203125" style="399" customWidth="1"/>
    <col min="1287" max="1287" width="15" style="399" customWidth="1"/>
    <col min="1288" max="1288" width="14" style="399" customWidth="1"/>
    <col min="1289" max="1291" width="18.33203125" style="399" customWidth="1"/>
    <col min="1292" max="1293" width="13.6640625" style="399" customWidth="1"/>
    <col min="1294" max="1294" width="15.6640625" style="399" customWidth="1"/>
    <col min="1295" max="1304" width="14.1640625" style="399"/>
    <col min="1305" max="1354" width="0" style="399" hidden="1" customWidth="1"/>
    <col min="1355" max="1536" width="14.1640625" style="399"/>
    <col min="1537" max="1537" width="4.6640625" style="399" customWidth="1"/>
    <col min="1538" max="1538" width="8.83203125" style="399" customWidth="1"/>
    <col min="1539" max="1539" width="20.83203125" style="399" customWidth="1"/>
    <col min="1540" max="1540" width="70" style="399" customWidth="1"/>
    <col min="1541" max="1541" width="6" style="399" customWidth="1"/>
    <col min="1542" max="1542" width="6.83203125" style="399" customWidth="1"/>
    <col min="1543" max="1543" width="15" style="399" customWidth="1"/>
    <col min="1544" max="1544" width="14" style="399" customWidth="1"/>
    <col min="1545" max="1547" width="18.33203125" style="399" customWidth="1"/>
    <col min="1548" max="1549" width="13.6640625" style="399" customWidth="1"/>
    <col min="1550" max="1550" width="15.6640625" style="399" customWidth="1"/>
    <col min="1551" max="1560" width="14.1640625" style="399"/>
    <col min="1561" max="1610" width="0" style="399" hidden="1" customWidth="1"/>
    <col min="1611" max="1792" width="14.1640625" style="399"/>
    <col min="1793" max="1793" width="4.6640625" style="399" customWidth="1"/>
    <col min="1794" max="1794" width="8.83203125" style="399" customWidth="1"/>
    <col min="1795" max="1795" width="20.83203125" style="399" customWidth="1"/>
    <col min="1796" max="1796" width="70" style="399" customWidth="1"/>
    <col min="1797" max="1797" width="6" style="399" customWidth="1"/>
    <col min="1798" max="1798" width="6.83203125" style="399" customWidth="1"/>
    <col min="1799" max="1799" width="15" style="399" customWidth="1"/>
    <col min="1800" max="1800" width="14" style="399" customWidth="1"/>
    <col min="1801" max="1803" width="18.33203125" style="399" customWidth="1"/>
    <col min="1804" max="1805" width="13.6640625" style="399" customWidth="1"/>
    <col min="1806" max="1806" width="15.6640625" style="399" customWidth="1"/>
    <col min="1807" max="1816" width="14.1640625" style="399"/>
    <col min="1817" max="1866" width="0" style="399" hidden="1" customWidth="1"/>
    <col min="1867" max="2048" width="14.1640625" style="399"/>
    <col min="2049" max="2049" width="4.6640625" style="399" customWidth="1"/>
    <col min="2050" max="2050" width="8.83203125" style="399" customWidth="1"/>
    <col min="2051" max="2051" width="20.83203125" style="399" customWidth="1"/>
    <col min="2052" max="2052" width="70" style="399" customWidth="1"/>
    <col min="2053" max="2053" width="6" style="399" customWidth="1"/>
    <col min="2054" max="2054" width="6.83203125" style="399" customWidth="1"/>
    <col min="2055" max="2055" width="15" style="399" customWidth="1"/>
    <col min="2056" max="2056" width="14" style="399" customWidth="1"/>
    <col min="2057" max="2059" width="18.33203125" style="399" customWidth="1"/>
    <col min="2060" max="2061" width="13.6640625" style="399" customWidth="1"/>
    <col min="2062" max="2062" width="15.6640625" style="399" customWidth="1"/>
    <col min="2063" max="2072" width="14.1640625" style="399"/>
    <col min="2073" max="2122" width="0" style="399" hidden="1" customWidth="1"/>
    <col min="2123" max="2304" width="14.1640625" style="399"/>
    <col min="2305" max="2305" width="4.6640625" style="399" customWidth="1"/>
    <col min="2306" max="2306" width="8.83203125" style="399" customWidth="1"/>
    <col min="2307" max="2307" width="20.83203125" style="399" customWidth="1"/>
    <col min="2308" max="2308" width="70" style="399" customWidth="1"/>
    <col min="2309" max="2309" width="6" style="399" customWidth="1"/>
    <col min="2310" max="2310" width="6.83203125" style="399" customWidth="1"/>
    <col min="2311" max="2311" width="15" style="399" customWidth="1"/>
    <col min="2312" max="2312" width="14" style="399" customWidth="1"/>
    <col min="2313" max="2315" width="18.33203125" style="399" customWidth="1"/>
    <col min="2316" max="2317" width="13.6640625" style="399" customWidth="1"/>
    <col min="2318" max="2318" width="15.6640625" style="399" customWidth="1"/>
    <col min="2319" max="2328" width="14.1640625" style="399"/>
    <col min="2329" max="2378" width="0" style="399" hidden="1" customWidth="1"/>
    <col min="2379" max="2560" width="14.1640625" style="399"/>
    <col min="2561" max="2561" width="4.6640625" style="399" customWidth="1"/>
    <col min="2562" max="2562" width="8.83203125" style="399" customWidth="1"/>
    <col min="2563" max="2563" width="20.83203125" style="399" customWidth="1"/>
    <col min="2564" max="2564" width="70" style="399" customWidth="1"/>
    <col min="2565" max="2565" width="6" style="399" customWidth="1"/>
    <col min="2566" max="2566" width="6.83203125" style="399" customWidth="1"/>
    <col min="2567" max="2567" width="15" style="399" customWidth="1"/>
    <col min="2568" max="2568" width="14" style="399" customWidth="1"/>
    <col min="2569" max="2571" width="18.33203125" style="399" customWidth="1"/>
    <col min="2572" max="2573" width="13.6640625" style="399" customWidth="1"/>
    <col min="2574" max="2574" width="15.6640625" style="399" customWidth="1"/>
    <col min="2575" max="2584" width="14.1640625" style="399"/>
    <col min="2585" max="2634" width="0" style="399" hidden="1" customWidth="1"/>
    <col min="2635" max="2816" width="14.1640625" style="399"/>
    <col min="2817" max="2817" width="4.6640625" style="399" customWidth="1"/>
    <col min="2818" max="2818" width="8.83203125" style="399" customWidth="1"/>
    <col min="2819" max="2819" width="20.83203125" style="399" customWidth="1"/>
    <col min="2820" max="2820" width="70" style="399" customWidth="1"/>
    <col min="2821" max="2821" width="6" style="399" customWidth="1"/>
    <col min="2822" max="2822" width="6.83203125" style="399" customWidth="1"/>
    <col min="2823" max="2823" width="15" style="399" customWidth="1"/>
    <col min="2824" max="2824" width="14" style="399" customWidth="1"/>
    <col min="2825" max="2827" width="18.33203125" style="399" customWidth="1"/>
    <col min="2828" max="2829" width="13.6640625" style="399" customWidth="1"/>
    <col min="2830" max="2830" width="15.6640625" style="399" customWidth="1"/>
    <col min="2831" max="2840" width="14.1640625" style="399"/>
    <col min="2841" max="2890" width="0" style="399" hidden="1" customWidth="1"/>
    <col min="2891" max="3072" width="14.1640625" style="399"/>
    <col min="3073" max="3073" width="4.6640625" style="399" customWidth="1"/>
    <col min="3074" max="3074" width="8.83203125" style="399" customWidth="1"/>
    <col min="3075" max="3075" width="20.83203125" style="399" customWidth="1"/>
    <col min="3076" max="3076" width="70" style="399" customWidth="1"/>
    <col min="3077" max="3077" width="6" style="399" customWidth="1"/>
    <col min="3078" max="3078" width="6.83203125" style="399" customWidth="1"/>
    <col min="3079" max="3079" width="15" style="399" customWidth="1"/>
    <col min="3080" max="3080" width="14" style="399" customWidth="1"/>
    <col min="3081" max="3083" width="18.33203125" style="399" customWidth="1"/>
    <col min="3084" max="3085" width="13.6640625" style="399" customWidth="1"/>
    <col min="3086" max="3086" width="15.6640625" style="399" customWidth="1"/>
    <col min="3087" max="3096" width="14.1640625" style="399"/>
    <col min="3097" max="3146" width="0" style="399" hidden="1" customWidth="1"/>
    <col min="3147" max="3328" width="14.1640625" style="399"/>
    <col min="3329" max="3329" width="4.6640625" style="399" customWidth="1"/>
    <col min="3330" max="3330" width="8.83203125" style="399" customWidth="1"/>
    <col min="3331" max="3331" width="20.83203125" style="399" customWidth="1"/>
    <col min="3332" max="3332" width="70" style="399" customWidth="1"/>
    <col min="3333" max="3333" width="6" style="399" customWidth="1"/>
    <col min="3334" max="3334" width="6.83203125" style="399" customWidth="1"/>
    <col min="3335" max="3335" width="15" style="399" customWidth="1"/>
    <col min="3336" max="3336" width="14" style="399" customWidth="1"/>
    <col min="3337" max="3339" width="18.33203125" style="399" customWidth="1"/>
    <col min="3340" max="3341" width="13.6640625" style="399" customWidth="1"/>
    <col min="3342" max="3342" width="15.6640625" style="399" customWidth="1"/>
    <col min="3343" max="3352" width="14.1640625" style="399"/>
    <col min="3353" max="3402" width="0" style="399" hidden="1" customWidth="1"/>
    <col min="3403" max="3584" width="14.1640625" style="399"/>
    <col min="3585" max="3585" width="4.6640625" style="399" customWidth="1"/>
    <col min="3586" max="3586" width="8.83203125" style="399" customWidth="1"/>
    <col min="3587" max="3587" width="20.83203125" style="399" customWidth="1"/>
    <col min="3588" max="3588" width="70" style="399" customWidth="1"/>
    <col min="3589" max="3589" width="6" style="399" customWidth="1"/>
    <col min="3590" max="3590" width="6.83203125" style="399" customWidth="1"/>
    <col min="3591" max="3591" width="15" style="399" customWidth="1"/>
    <col min="3592" max="3592" width="14" style="399" customWidth="1"/>
    <col min="3593" max="3595" width="18.33203125" style="399" customWidth="1"/>
    <col min="3596" max="3597" width="13.6640625" style="399" customWidth="1"/>
    <col min="3598" max="3598" width="15.6640625" style="399" customWidth="1"/>
    <col min="3599" max="3608" width="14.1640625" style="399"/>
    <col min="3609" max="3658" width="0" style="399" hidden="1" customWidth="1"/>
    <col min="3659" max="3840" width="14.1640625" style="399"/>
    <col min="3841" max="3841" width="4.6640625" style="399" customWidth="1"/>
    <col min="3842" max="3842" width="8.83203125" style="399" customWidth="1"/>
    <col min="3843" max="3843" width="20.83203125" style="399" customWidth="1"/>
    <col min="3844" max="3844" width="70" style="399" customWidth="1"/>
    <col min="3845" max="3845" width="6" style="399" customWidth="1"/>
    <col min="3846" max="3846" width="6.83203125" style="399" customWidth="1"/>
    <col min="3847" max="3847" width="15" style="399" customWidth="1"/>
    <col min="3848" max="3848" width="14" style="399" customWidth="1"/>
    <col min="3849" max="3851" width="18.33203125" style="399" customWidth="1"/>
    <col min="3852" max="3853" width="13.6640625" style="399" customWidth="1"/>
    <col min="3854" max="3854" width="15.6640625" style="399" customWidth="1"/>
    <col min="3855" max="3864" width="14.1640625" style="399"/>
    <col min="3865" max="3914" width="0" style="399" hidden="1" customWidth="1"/>
    <col min="3915" max="4096" width="14.1640625" style="399"/>
    <col min="4097" max="4097" width="4.6640625" style="399" customWidth="1"/>
    <col min="4098" max="4098" width="8.83203125" style="399" customWidth="1"/>
    <col min="4099" max="4099" width="20.83203125" style="399" customWidth="1"/>
    <col min="4100" max="4100" width="70" style="399" customWidth="1"/>
    <col min="4101" max="4101" width="6" style="399" customWidth="1"/>
    <col min="4102" max="4102" width="6.83203125" style="399" customWidth="1"/>
    <col min="4103" max="4103" width="15" style="399" customWidth="1"/>
    <col min="4104" max="4104" width="14" style="399" customWidth="1"/>
    <col min="4105" max="4107" width="18.33203125" style="399" customWidth="1"/>
    <col min="4108" max="4109" width="13.6640625" style="399" customWidth="1"/>
    <col min="4110" max="4110" width="15.6640625" style="399" customWidth="1"/>
    <col min="4111" max="4120" width="14.1640625" style="399"/>
    <col min="4121" max="4170" width="0" style="399" hidden="1" customWidth="1"/>
    <col min="4171" max="4352" width="14.1640625" style="399"/>
    <col min="4353" max="4353" width="4.6640625" style="399" customWidth="1"/>
    <col min="4354" max="4354" width="8.83203125" style="399" customWidth="1"/>
    <col min="4355" max="4355" width="20.83203125" style="399" customWidth="1"/>
    <col min="4356" max="4356" width="70" style="399" customWidth="1"/>
    <col min="4357" max="4357" width="6" style="399" customWidth="1"/>
    <col min="4358" max="4358" width="6.83203125" style="399" customWidth="1"/>
    <col min="4359" max="4359" width="15" style="399" customWidth="1"/>
    <col min="4360" max="4360" width="14" style="399" customWidth="1"/>
    <col min="4361" max="4363" width="18.33203125" style="399" customWidth="1"/>
    <col min="4364" max="4365" width="13.6640625" style="399" customWidth="1"/>
    <col min="4366" max="4366" width="15.6640625" style="399" customWidth="1"/>
    <col min="4367" max="4376" width="14.1640625" style="399"/>
    <col min="4377" max="4426" width="0" style="399" hidden="1" customWidth="1"/>
    <col min="4427" max="4608" width="14.1640625" style="399"/>
    <col min="4609" max="4609" width="4.6640625" style="399" customWidth="1"/>
    <col min="4610" max="4610" width="8.83203125" style="399" customWidth="1"/>
    <col min="4611" max="4611" width="20.83203125" style="399" customWidth="1"/>
    <col min="4612" max="4612" width="70" style="399" customWidth="1"/>
    <col min="4613" max="4613" width="6" style="399" customWidth="1"/>
    <col min="4614" max="4614" width="6.83203125" style="399" customWidth="1"/>
    <col min="4615" max="4615" width="15" style="399" customWidth="1"/>
    <col min="4616" max="4616" width="14" style="399" customWidth="1"/>
    <col min="4617" max="4619" width="18.33203125" style="399" customWidth="1"/>
    <col min="4620" max="4621" width="13.6640625" style="399" customWidth="1"/>
    <col min="4622" max="4622" width="15.6640625" style="399" customWidth="1"/>
    <col min="4623" max="4632" width="14.1640625" style="399"/>
    <col min="4633" max="4682" width="0" style="399" hidden="1" customWidth="1"/>
    <col min="4683" max="4864" width="14.1640625" style="399"/>
    <col min="4865" max="4865" width="4.6640625" style="399" customWidth="1"/>
    <col min="4866" max="4866" width="8.83203125" style="399" customWidth="1"/>
    <col min="4867" max="4867" width="20.83203125" style="399" customWidth="1"/>
    <col min="4868" max="4868" width="70" style="399" customWidth="1"/>
    <col min="4869" max="4869" width="6" style="399" customWidth="1"/>
    <col min="4870" max="4870" width="6.83203125" style="399" customWidth="1"/>
    <col min="4871" max="4871" width="15" style="399" customWidth="1"/>
    <col min="4872" max="4872" width="14" style="399" customWidth="1"/>
    <col min="4873" max="4875" width="18.33203125" style="399" customWidth="1"/>
    <col min="4876" max="4877" width="13.6640625" style="399" customWidth="1"/>
    <col min="4878" max="4878" width="15.6640625" style="399" customWidth="1"/>
    <col min="4879" max="4888" width="14.1640625" style="399"/>
    <col min="4889" max="4938" width="0" style="399" hidden="1" customWidth="1"/>
    <col min="4939" max="5120" width="14.1640625" style="399"/>
    <col min="5121" max="5121" width="4.6640625" style="399" customWidth="1"/>
    <col min="5122" max="5122" width="8.83203125" style="399" customWidth="1"/>
    <col min="5123" max="5123" width="20.83203125" style="399" customWidth="1"/>
    <col min="5124" max="5124" width="70" style="399" customWidth="1"/>
    <col min="5125" max="5125" width="6" style="399" customWidth="1"/>
    <col min="5126" max="5126" width="6.83203125" style="399" customWidth="1"/>
    <col min="5127" max="5127" width="15" style="399" customWidth="1"/>
    <col min="5128" max="5128" width="14" style="399" customWidth="1"/>
    <col min="5129" max="5131" width="18.33203125" style="399" customWidth="1"/>
    <col min="5132" max="5133" width="13.6640625" style="399" customWidth="1"/>
    <col min="5134" max="5134" width="15.6640625" style="399" customWidth="1"/>
    <col min="5135" max="5144" width="14.1640625" style="399"/>
    <col min="5145" max="5194" width="0" style="399" hidden="1" customWidth="1"/>
    <col min="5195" max="5376" width="14.1640625" style="399"/>
    <col min="5377" max="5377" width="4.6640625" style="399" customWidth="1"/>
    <col min="5378" max="5378" width="8.83203125" style="399" customWidth="1"/>
    <col min="5379" max="5379" width="20.83203125" style="399" customWidth="1"/>
    <col min="5380" max="5380" width="70" style="399" customWidth="1"/>
    <col min="5381" max="5381" width="6" style="399" customWidth="1"/>
    <col min="5382" max="5382" width="6.83203125" style="399" customWidth="1"/>
    <col min="5383" max="5383" width="15" style="399" customWidth="1"/>
    <col min="5384" max="5384" width="14" style="399" customWidth="1"/>
    <col min="5385" max="5387" width="18.33203125" style="399" customWidth="1"/>
    <col min="5388" max="5389" width="13.6640625" style="399" customWidth="1"/>
    <col min="5390" max="5390" width="15.6640625" style="399" customWidth="1"/>
    <col min="5391" max="5400" width="14.1640625" style="399"/>
    <col min="5401" max="5450" width="0" style="399" hidden="1" customWidth="1"/>
    <col min="5451" max="5632" width="14.1640625" style="399"/>
    <col min="5633" max="5633" width="4.6640625" style="399" customWidth="1"/>
    <col min="5634" max="5634" width="8.83203125" style="399" customWidth="1"/>
    <col min="5635" max="5635" width="20.83203125" style="399" customWidth="1"/>
    <col min="5636" max="5636" width="70" style="399" customWidth="1"/>
    <col min="5637" max="5637" width="6" style="399" customWidth="1"/>
    <col min="5638" max="5638" width="6.83203125" style="399" customWidth="1"/>
    <col min="5639" max="5639" width="15" style="399" customWidth="1"/>
    <col min="5640" max="5640" width="14" style="399" customWidth="1"/>
    <col min="5641" max="5643" width="18.33203125" style="399" customWidth="1"/>
    <col min="5644" max="5645" width="13.6640625" style="399" customWidth="1"/>
    <col min="5646" max="5646" width="15.6640625" style="399" customWidth="1"/>
    <col min="5647" max="5656" width="14.1640625" style="399"/>
    <col min="5657" max="5706" width="0" style="399" hidden="1" customWidth="1"/>
    <col min="5707" max="5888" width="14.1640625" style="399"/>
    <col min="5889" max="5889" width="4.6640625" style="399" customWidth="1"/>
    <col min="5890" max="5890" width="8.83203125" style="399" customWidth="1"/>
    <col min="5891" max="5891" width="20.83203125" style="399" customWidth="1"/>
    <col min="5892" max="5892" width="70" style="399" customWidth="1"/>
    <col min="5893" max="5893" width="6" style="399" customWidth="1"/>
    <col min="5894" max="5894" width="6.83203125" style="399" customWidth="1"/>
    <col min="5895" max="5895" width="15" style="399" customWidth="1"/>
    <col min="5896" max="5896" width="14" style="399" customWidth="1"/>
    <col min="5897" max="5899" width="18.33203125" style="399" customWidth="1"/>
    <col min="5900" max="5901" width="13.6640625" style="399" customWidth="1"/>
    <col min="5902" max="5902" width="15.6640625" style="399" customWidth="1"/>
    <col min="5903" max="5912" width="14.1640625" style="399"/>
    <col min="5913" max="5962" width="0" style="399" hidden="1" customWidth="1"/>
    <col min="5963" max="6144" width="14.1640625" style="399"/>
    <col min="6145" max="6145" width="4.6640625" style="399" customWidth="1"/>
    <col min="6146" max="6146" width="8.83203125" style="399" customWidth="1"/>
    <col min="6147" max="6147" width="20.83203125" style="399" customWidth="1"/>
    <col min="6148" max="6148" width="70" style="399" customWidth="1"/>
    <col min="6149" max="6149" width="6" style="399" customWidth="1"/>
    <col min="6150" max="6150" width="6.83203125" style="399" customWidth="1"/>
    <col min="6151" max="6151" width="15" style="399" customWidth="1"/>
    <col min="6152" max="6152" width="14" style="399" customWidth="1"/>
    <col min="6153" max="6155" width="18.33203125" style="399" customWidth="1"/>
    <col min="6156" max="6157" width="13.6640625" style="399" customWidth="1"/>
    <col min="6158" max="6158" width="15.6640625" style="399" customWidth="1"/>
    <col min="6159" max="6168" width="14.1640625" style="399"/>
    <col min="6169" max="6218" width="0" style="399" hidden="1" customWidth="1"/>
    <col min="6219" max="6400" width="14.1640625" style="399"/>
    <col min="6401" max="6401" width="4.6640625" style="399" customWidth="1"/>
    <col min="6402" max="6402" width="8.83203125" style="399" customWidth="1"/>
    <col min="6403" max="6403" width="20.83203125" style="399" customWidth="1"/>
    <col min="6404" max="6404" width="70" style="399" customWidth="1"/>
    <col min="6405" max="6405" width="6" style="399" customWidth="1"/>
    <col min="6406" max="6406" width="6.83203125" style="399" customWidth="1"/>
    <col min="6407" max="6407" width="15" style="399" customWidth="1"/>
    <col min="6408" max="6408" width="14" style="399" customWidth="1"/>
    <col min="6409" max="6411" width="18.33203125" style="399" customWidth="1"/>
    <col min="6412" max="6413" width="13.6640625" style="399" customWidth="1"/>
    <col min="6414" max="6414" width="15.6640625" style="399" customWidth="1"/>
    <col min="6415" max="6424" width="14.1640625" style="399"/>
    <col min="6425" max="6474" width="0" style="399" hidden="1" customWidth="1"/>
    <col min="6475" max="6656" width="14.1640625" style="399"/>
    <col min="6657" max="6657" width="4.6640625" style="399" customWidth="1"/>
    <col min="6658" max="6658" width="8.83203125" style="399" customWidth="1"/>
    <col min="6659" max="6659" width="20.83203125" style="399" customWidth="1"/>
    <col min="6660" max="6660" width="70" style="399" customWidth="1"/>
    <col min="6661" max="6661" width="6" style="399" customWidth="1"/>
    <col min="6662" max="6662" width="6.83203125" style="399" customWidth="1"/>
    <col min="6663" max="6663" width="15" style="399" customWidth="1"/>
    <col min="6664" max="6664" width="14" style="399" customWidth="1"/>
    <col min="6665" max="6667" width="18.33203125" style="399" customWidth="1"/>
    <col min="6668" max="6669" width="13.6640625" style="399" customWidth="1"/>
    <col min="6670" max="6670" width="15.6640625" style="399" customWidth="1"/>
    <col min="6671" max="6680" width="14.1640625" style="399"/>
    <col min="6681" max="6730" width="0" style="399" hidden="1" customWidth="1"/>
    <col min="6731" max="6912" width="14.1640625" style="399"/>
    <col min="6913" max="6913" width="4.6640625" style="399" customWidth="1"/>
    <col min="6914" max="6914" width="8.83203125" style="399" customWidth="1"/>
    <col min="6915" max="6915" width="20.83203125" style="399" customWidth="1"/>
    <col min="6916" max="6916" width="70" style="399" customWidth="1"/>
    <col min="6917" max="6917" width="6" style="399" customWidth="1"/>
    <col min="6918" max="6918" width="6.83203125" style="399" customWidth="1"/>
    <col min="6919" max="6919" width="15" style="399" customWidth="1"/>
    <col min="6920" max="6920" width="14" style="399" customWidth="1"/>
    <col min="6921" max="6923" width="18.33203125" style="399" customWidth="1"/>
    <col min="6924" max="6925" width="13.6640625" style="399" customWidth="1"/>
    <col min="6926" max="6926" width="15.6640625" style="399" customWidth="1"/>
    <col min="6927" max="6936" width="14.1640625" style="399"/>
    <col min="6937" max="6986" width="0" style="399" hidden="1" customWidth="1"/>
    <col min="6987" max="7168" width="14.1640625" style="399"/>
    <col min="7169" max="7169" width="4.6640625" style="399" customWidth="1"/>
    <col min="7170" max="7170" width="8.83203125" style="399" customWidth="1"/>
    <col min="7171" max="7171" width="20.83203125" style="399" customWidth="1"/>
    <col min="7172" max="7172" width="70" style="399" customWidth="1"/>
    <col min="7173" max="7173" width="6" style="399" customWidth="1"/>
    <col min="7174" max="7174" width="6.83203125" style="399" customWidth="1"/>
    <col min="7175" max="7175" width="15" style="399" customWidth="1"/>
    <col min="7176" max="7176" width="14" style="399" customWidth="1"/>
    <col min="7177" max="7179" width="18.33203125" style="399" customWidth="1"/>
    <col min="7180" max="7181" width="13.6640625" style="399" customWidth="1"/>
    <col min="7182" max="7182" width="15.6640625" style="399" customWidth="1"/>
    <col min="7183" max="7192" width="14.1640625" style="399"/>
    <col min="7193" max="7242" width="0" style="399" hidden="1" customWidth="1"/>
    <col min="7243" max="7424" width="14.1640625" style="399"/>
    <col min="7425" max="7425" width="4.6640625" style="399" customWidth="1"/>
    <col min="7426" max="7426" width="8.83203125" style="399" customWidth="1"/>
    <col min="7427" max="7427" width="20.83203125" style="399" customWidth="1"/>
    <col min="7428" max="7428" width="70" style="399" customWidth="1"/>
    <col min="7429" max="7429" width="6" style="399" customWidth="1"/>
    <col min="7430" max="7430" width="6.83203125" style="399" customWidth="1"/>
    <col min="7431" max="7431" width="15" style="399" customWidth="1"/>
    <col min="7432" max="7432" width="14" style="399" customWidth="1"/>
    <col min="7433" max="7435" width="18.33203125" style="399" customWidth="1"/>
    <col min="7436" max="7437" width="13.6640625" style="399" customWidth="1"/>
    <col min="7438" max="7438" width="15.6640625" style="399" customWidth="1"/>
    <col min="7439" max="7448" width="14.1640625" style="399"/>
    <col min="7449" max="7498" width="0" style="399" hidden="1" customWidth="1"/>
    <col min="7499" max="7680" width="14.1640625" style="399"/>
    <col min="7681" max="7681" width="4.6640625" style="399" customWidth="1"/>
    <col min="7682" max="7682" width="8.83203125" style="399" customWidth="1"/>
    <col min="7683" max="7683" width="20.83203125" style="399" customWidth="1"/>
    <col min="7684" max="7684" width="70" style="399" customWidth="1"/>
    <col min="7685" max="7685" width="6" style="399" customWidth="1"/>
    <col min="7686" max="7686" width="6.83203125" style="399" customWidth="1"/>
    <col min="7687" max="7687" width="15" style="399" customWidth="1"/>
    <col min="7688" max="7688" width="14" style="399" customWidth="1"/>
    <col min="7689" max="7691" width="18.33203125" style="399" customWidth="1"/>
    <col min="7692" max="7693" width="13.6640625" style="399" customWidth="1"/>
    <col min="7694" max="7694" width="15.6640625" style="399" customWidth="1"/>
    <col min="7695" max="7704" width="14.1640625" style="399"/>
    <col min="7705" max="7754" width="0" style="399" hidden="1" customWidth="1"/>
    <col min="7755" max="7936" width="14.1640625" style="399"/>
    <col min="7937" max="7937" width="4.6640625" style="399" customWidth="1"/>
    <col min="7938" max="7938" width="8.83203125" style="399" customWidth="1"/>
    <col min="7939" max="7939" width="20.83203125" style="399" customWidth="1"/>
    <col min="7940" max="7940" width="70" style="399" customWidth="1"/>
    <col min="7941" max="7941" width="6" style="399" customWidth="1"/>
    <col min="7942" max="7942" width="6.83203125" style="399" customWidth="1"/>
    <col min="7943" max="7943" width="15" style="399" customWidth="1"/>
    <col min="7944" max="7944" width="14" style="399" customWidth="1"/>
    <col min="7945" max="7947" width="18.33203125" style="399" customWidth="1"/>
    <col min="7948" max="7949" width="13.6640625" style="399" customWidth="1"/>
    <col min="7950" max="7950" width="15.6640625" style="399" customWidth="1"/>
    <col min="7951" max="7960" width="14.1640625" style="399"/>
    <col min="7961" max="8010" width="0" style="399" hidden="1" customWidth="1"/>
    <col min="8011" max="8192" width="14.1640625" style="399"/>
    <col min="8193" max="8193" width="4.6640625" style="399" customWidth="1"/>
    <col min="8194" max="8194" width="8.83203125" style="399" customWidth="1"/>
    <col min="8195" max="8195" width="20.83203125" style="399" customWidth="1"/>
    <col min="8196" max="8196" width="70" style="399" customWidth="1"/>
    <col min="8197" max="8197" width="6" style="399" customWidth="1"/>
    <col min="8198" max="8198" width="6.83203125" style="399" customWidth="1"/>
    <col min="8199" max="8199" width="15" style="399" customWidth="1"/>
    <col min="8200" max="8200" width="14" style="399" customWidth="1"/>
    <col min="8201" max="8203" width="18.33203125" style="399" customWidth="1"/>
    <col min="8204" max="8205" width="13.6640625" style="399" customWidth="1"/>
    <col min="8206" max="8206" width="15.6640625" style="399" customWidth="1"/>
    <col min="8207" max="8216" width="14.1640625" style="399"/>
    <col min="8217" max="8266" width="0" style="399" hidden="1" customWidth="1"/>
    <col min="8267" max="8448" width="14.1640625" style="399"/>
    <col min="8449" max="8449" width="4.6640625" style="399" customWidth="1"/>
    <col min="8450" max="8450" width="8.83203125" style="399" customWidth="1"/>
    <col min="8451" max="8451" width="20.83203125" style="399" customWidth="1"/>
    <col min="8452" max="8452" width="70" style="399" customWidth="1"/>
    <col min="8453" max="8453" width="6" style="399" customWidth="1"/>
    <col min="8454" max="8454" width="6.83203125" style="399" customWidth="1"/>
    <col min="8455" max="8455" width="15" style="399" customWidth="1"/>
    <col min="8456" max="8456" width="14" style="399" customWidth="1"/>
    <col min="8457" max="8459" width="18.33203125" style="399" customWidth="1"/>
    <col min="8460" max="8461" width="13.6640625" style="399" customWidth="1"/>
    <col min="8462" max="8462" width="15.6640625" style="399" customWidth="1"/>
    <col min="8463" max="8472" width="14.1640625" style="399"/>
    <col min="8473" max="8522" width="0" style="399" hidden="1" customWidth="1"/>
    <col min="8523" max="8704" width="14.1640625" style="399"/>
    <col min="8705" max="8705" width="4.6640625" style="399" customWidth="1"/>
    <col min="8706" max="8706" width="8.83203125" style="399" customWidth="1"/>
    <col min="8707" max="8707" width="20.83203125" style="399" customWidth="1"/>
    <col min="8708" max="8708" width="70" style="399" customWidth="1"/>
    <col min="8709" max="8709" width="6" style="399" customWidth="1"/>
    <col min="8710" max="8710" width="6.83203125" style="399" customWidth="1"/>
    <col min="8711" max="8711" width="15" style="399" customWidth="1"/>
    <col min="8712" max="8712" width="14" style="399" customWidth="1"/>
    <col min="8713" max="8715" width="18.33203125" style="399" customWidth="1"/>
    <col min="8716" max="8717" width="13.6640625" style="399" customWidth="1"/>
    <col min="8718" max="8718" width="15.6640625" style="399" customWidth="1"/>
    <col min="8719" max="8728" width="14.1640625" style="399"/>
    <col min="8729" max="8778" width="0" style="399" hidden="1" customWidth="1"/>
    <col min="8779" max="8960" width="14.1640625" style="399"/>
    <col min="8961" max="8961" width="4.6640625" style="399" customWidth="1"/>
    <col min="8962" max="8962" width="8.83203125" style="399" customWidth="1"/>
    <col min="8963" max="8963" width="20.83203125" style="399" customWidth="1"/>
    <col min="8964" max="8964" width="70" style="399" customWidth="1"/>
    <col min="8965" max="8965" width="6" style="399" customWidth="1"/>
    <col min="8966" max="8966" width="6.83203125" style="399" customWidth="1"/>
    <col min="8967" max="8967" width="15" style="399" customWidth="1"/>
    <col min="8968" max="8968" width="14" style="399" customWidth="1"/>
    <col min="8969" max="8971" width="18.33203125" style="399" customWidth="1"/>
    <col min="8972" max="8973" width="13.6640625" style="399" customWidth="1"/>
    <col min="8974" max="8974" width="15.6640625" style="399" customWidth="1"/>
    <col min="8975" max="8984" width="14.1640625" style="399"/>
    <col min="8985" max="9034" width="0" style="399" hidden="1" customWidth="1"/>
    <col min="9035" max="9216" width="14.1640625" style="399"/>
    <col min="9217" max="9217" width="4.6640625" style="399" customWidth="1"/>
    <col min="9218" max="9218" width="8.83203125" style="399" customWidth="1"/>
    <col min="9219" max="9219" width="20.83203125" style="399" customWidth="1"/>
    <col min="9220" max="9220" width="70" style="399" customWidth="1"/>
    <col min="9221" max="9221" width="6" style="399" customWidth="1"/>
    <col min="9222" max="9222" width="6.83203125" style="399" customWidth="1"/>
    <col min="9223" max="9223" width="15" style="399" customWidth="1"/>
    <col min="9224" max="9224" width="14" style="399" customWidth="1"/>
    <col min="9225" max="9227" width="18.33203125" style="399" customWidth="1"/>
    <col min="9228" max="9229" width="13.6640625" style="399" customWidth="1"/>
    <col min="9230" max="9230" width="15.6640625" style="399" customWidth="1"/>
    <col min="9231" max="9240" width="14.1640625" style="399"/>
    <col min="9241" max="9290" width="0" style="399" hidden="1" customWidth="1"/>
    <col min="9291" max="9472" width="14.1640625" style="399"/>
    <col min="9473" max="9473" width="4.6640625" style="399" customWidth="1"/>
    <col min="9474" max="9474" width="8.83203125" style="399" customWidth="1"/>
    <col min="9475" max="9475" width="20.83203125" style="399" customWidth="1"/>
    <col min="9476" max="9476" width="70" style="399" customWidth="1"/>
    <col min="9477" max="9477" width="6" style="399" customWidth="1"/>
    <col min="9478" max="9478" width="6.83203125" style="399" customWidth="1"/>
    <col min="9479" max="9479" width="15" style="399" customWidth="1"/>
    <col min="9480" max="9480" width="14" style="399" customWidth="1"/>
    <col min="9481" max="9483" width="18.33203125" style="399" customWidth="1"/>
    <col min="9484" max="9485" width="13.6640625" style="399" customWidth="1"/>
    <col min="9486" max="9486" width="15.6640625" style="399" customWidth="1"/>
    <col min="9487" max="9496" width="14.1640625" style="399"/>
    <col min="9497" max="9546" width="0" style="399" hidden="1" customWidth="1"/>
    <col min="9547" max="9728" width="14.1640625" style="399"/>
    <col min="9729" max="9729" width="4.6640625" style="399" customWidth="1"/>
    <col min="9730" max="9730" width="8.83203125" style="399" customWidth="1"/>
    <col min="9731" max="9731" width="20.83203125" style="399" customWidth="1"/>
    <col min="9732" max="9732" width="70" style="399" customWidth="1"/>
    <col min="9733" max="9733" width="6" style="399" customWidth="1"/>
    <col min="9734" max="9734" width="6.83203125" style="399" customWidth="1"/>
    <col min="9735" max="9735" width="15" style="399" customWidth="1"/>
    <col min="9736" max="9736" width="14" style="399" customWidth="1"/>
    <col min="9737" max="9739" width="18.33203125" style="399" customWidth="1"/>
    <col min="9740" max="9741" width="13.6640625" style="399" customWidth="1"/>
    <col min="9742" max="9742" width="15.6640625" style="399" customWidth="1"/>
    <col min="9743" max="9752" width="14.1640625" style="399"/>
    <col min="9753" max="9802" width="0" style="399" hidden="1" customWidth="1"/>
    <col min="9803" max="9984" width="14.1640625" style="399"/>
    <col min="9985" max="9985" width="4.6640625" style="399" customWidth="1"/>
    <col min="9986" max="9986" width="8.83203125" style="399" customWidth="1"/>
    <col min="9987" max="9987" width="20.83203125" style="399" customWidth="1"/>
    <col min="9988" max="9988" width="70" style="399" customWidth="1"/>
    <col min="9989" max="9989" width="6" style="399" customWidth="1"/>
    <col min="9990" max="9990" width="6.83203125" style="399" customWidth="1"/>
    <col min="9991" max="9991" width="15" style="399" customWidth="1"/>
    <col min="9992" max="9992" width="14" style="399" customWidth="1"/>
    <col min="9993" max="9995" width="18.33203125" style="399" customWidth="1"/>
    <col min="9996" max="9997" width="13.6640625" style="399" customWidth="1"/>
    <col min="9998" max="9998" width="15.6640625" style="399" customWidth="1"/>
    <col min="9999" max="10008" width="14.1640625" style="399"/>
    <col min="10009" max="10058" width="0" style="399" hidden="1" customWidth="1"/>
    <col min="10059" max="10240" width="14.1640625" style="399"/>
    <col min="10241" max="10241" width="4.6640625" style="399" customWidth="1"/>
    <col min="10242" max="10242" width="8.83203125" style="399" customWidth="1"/>
    <col min="10243" max="10243" width="20.83203125" style="399" customWidth="1"/>
    <col min="10244" max="10244" width="70" style="399" customWidth="1"/>
    <col min="10245" max="10245" width="6" style="399" customWidth="1"/>
    <col min="10246" max="10246" width="6.83203125" style="399" customWidth="1"/>
    <col min="10247" max="10247" width="15" style="399" customWidth="1"/>
    <col min="10248" max="10248" width="14" style="399" customWidth="1"/>
    <col min="10249" max="10251" width="18.33203125" style="399" customWidth="1"/>
    <col min="10252" max="10253" width="13.6640625" style="399" customWidth="1"/>
    <col min="10254" max="10254" width="15.6640625" style="399" customWidth="1"/>
    <col min="10255" max="10264" width="14.1640625" style="399"/>
    <col min="10265" max="10314" width="0" style="399" hidden="1" customWidth="1"/>
    <col min="10315" max="10496" width="14.1640625" style="399"/>
    <col min="10497" max="10497" width="4.6640625" style="399" customWidth="1"/>
    <col min="10498" max="10498" width="8.83203125" style="399" customWidth="1"/>
    <col min="10499" max="10499" width="20.83203125" style="399" customWidth="1"/>
    <col min="10500" max="10500" width="70" style="399" customWidth="1"/>
    <col min="10501" max="10501" width="6" style="399" customWidth="1"/>
    <col min="10502" max="10502" width="6.83203125" style="399" customWidth="1"/>
    <col min="10503" max="10503" width="15" style="399" customWidth="1"/>
    <col min="10504" max="10504" width="14" style="399" customWidth="1"/>
    <col min="10505" max="10507" width="18.33203125" style="399" customWidth="1"/>
    <col min="10508" max="10509" width="13.6640625" style="399" customWidth="1"/>
    <col min="10510" max="10510" width="15.6640625" style="399" customWidth="1"/>
    <col min="10511" max="10520" width="14.1640625" style="399"/>
    <col min="10521" max="10570" width="0" style="399" hidden="1" customWidth="1"/>
    <col min="10571" max="10752" width="14.1640625" style="399"/>
    <col min="10753" max="10753" width="4.6640625" style="399" customWidth="1"/>
    <col min="10754" max="10754" width="8.83203125" style="399" customWidth="1"/>
    <col min="10755" max="10755" width="20.83203125" style="399" customWidth="1"/>
    <col min="10756" max="10756" width="70" style="399" customWidth="1"/>
    <col min="10757" max="10757" width="6" style="399" customWidth="1"/>
    <col min="10758" max="10758" width="6.83203125" style="399" customWidth="1"/>
    <col min="10759" max="10759" width="15" style="399" customWidth="1"/>
    <col min="10760" max="10760" width="14" style="399" customWidth="1"/>
    <col min="10761" max="10763" width="18.33203125" style="399" customWidth="1"/>
    <col min="10764" max="10765" width="13.6640625" style="399" customWidth="1"/>
    <col min="10766" max="10766" width="15.6640625" style="399" customWidth="1"/>
    <col min="10767" max="10776" width="14.1640625" style="399"/>
    <col min="10777" max="10826" width="0" style="399" hidden="1" customWidth="1"/>
    <col min="10827" max="11008" width="14.1640625" style="399"/>
    <col min="11009" max="11009" width="4.6640625" style="399" customWidth="1"/>
    <col min="11010" max="11010" width="8.83203125" style="399" customWidth="1"/>
    <col min="11011" max="11011" width="20.83203125" style="399" customWidth="1"/>
    <col min="11012" max="11012" width="70" style="399" customWidth="1"/>
    <col min="11013" max="11013" width="6" style="399" customWidth="1"/>
    <col min="11014" max="11014" width="6.83203125" style="399" customWidth="1"/>
    <col min="11015" max="11015" width="15" style="399" customWidth="1"/>
    <col min="11016" max="11016" width="14" style="399" customWidth="1"/>
    <col min="11017" max="11019" width="18.33203125" style="399" customWidth="1"/>
    <col min="11020" max="11021" width="13.6640625" style="399" customWidth="1"/>
    <col min="11022" max="11022" width="15.6640625" style="399" customWidth="1"/>
    <col min="11023" max="11032" width="14.1640625" style="399"/>
    <col min="11033" max="11082" width="0" style="399" hidden="1" customWidth="1"/>
    <col min="11083" max="11264" width="14.1640625" style="399"/>
    <col min="11265" max="11265" width="4.6640625" style="399" customWidth="1"/>
    <col min="11266" max="11266" width="8.83203125" style="399" customWidth="1"/>
    <col min="11267" max="11267" width="20.83203125" style="399" customWidth="1"/>
    <col min="11268" max="11268" width="70" style="399" customWidth="1"/>
    <col min="11269" max="11269" width="6" style="399" customWidth="1"/>
    <col min="11270" max="11270" width="6.83203125" style="399" customWidth="1"/>
    <col min="11271" max="11271" width="15" style="399" customWidth="1"/>
    <col min="11272" max="11272" width="14" style="399" customWidth="1"/>
    <col min="11273" max="11275" width="18.33203125" style="399" customWidth="1"/>
    <col min="11276" max="11277" width="13.6640625" style="399" customWidth="1"/>
    <col min="11278" max="11278" width="15.6640625" style="399" customWidth="1"/>
    <col min="11279" max="11288" width="14.1640625" style="399"/>
    <col min="11289" max="11338" width="0" style="399" hidden="1" customWidth="1"/>
    <col min="11339" max="11520" width="14.1640625" style="399"/>
    <col min="11521" max="11521" width="4.6640625" style="399" customWidth="1"/>
    <col min="11522" max="11522" width="8.83203125" style="399" customWidth="1"/>
    <col min="11523" max="11523" width="20.83203125" style="399" customWidth="1"/>
    <col min="11524" max="11524" width="70" style="399" customWidth="1"/>
    <col min="11525" max="11525" width="6" style="399" customWidth="1"/>
    <col min="11526" max="11526" width="6.83203125" style="399" customWidth="1"/>
    <col min="11527" max="11527" width="15" style="399" customWidth="1"/>
    <col min="11528" max="11528" width="14" style="399" customWidth="1"/>
    <col min="11529" max="11531" width="18.33203125" style="399" customWidth="1"/>
    <col min="11532" max="11533" width="13.6640625" style="399" customWidth="1"/>
    <col min="11534" max="11534" width="15.6640625" style="399" customWidth="1"/>
    <col min="11535" max="11544" width="14.1640625" style="399"/>
    <col min="11545" max="11594" width="0" style="399" hidden="1" customWidth="1"/>
    <col min="11595" max="11776" width="14.1640625" style="399"/>
    <col min="11777" max="11777" width="4.6640625" style="399" customWidth="1"/>
    <col min="11778" max="11778" width="8.83203125" style="399" customWidth="1"/>
    <col min="11779" max="11779" width="20.83203125" style="399" customWidth="1"/>
    <col min="11780" max="11780" width="70" style="399" customWidth="1"/>
    <col min="11781" max="11781" width="6" style="399" customWidth="1"/>
    <col min="11782" max="11782" width="6.83203125" style="399" customWidth="1"/>
    <col min="11783" max="11783" width="15" style="399" customWidth="1"/>
    <col min="11784" max="11784" width="14" style="399" customWidth="1"/>
    <col min="11785" max="11787" width="18.33203125" style="399" customWidth="1"/>
    <col min="11788" max="11789" width="13.6640625" style="399" customWidth="1"/>
    <col min="11790" max="11790" width="15.6640625" style="399" customWidth="1"/>
    <col min="11791" max="11800" width="14.1640625" style="399"/>
    <col min="11801" max="11850" width="0" style="399" hidden="1" customWidth="1"/>
    <col min="11851" max="12032" width="14.1640625" style="399"/>
    <col min="12033" max="12033" width="4.6640625" style="399" customWidth="1"/>
    <col min="12034" max="12034" width="8.83203125" style="399" customWidth="1"/>
    <col min="12035" max="12035" width="20.83203125" style="399" customWidth="1"/>
    <col min="12036" max="12036" width="70" style="399" customWidth="1"/>
    <col min="12037" max="12037" width="6" style="399" customWidth="1"/>
    <col min="12038" max="12038" width="6.83203125" style="399" customWidth="1"/>
    <col min="12039" max="12039" width="15" style="399" customWidth="1"/>
    <col min="12040" max="12040" width="14" style="399" customWidth="1"/>
    <col min="12041" max="12043" width="18.33203125" style="399" customWidth="1"/>
    <col min="12044" max="12045" width="13.6640625" style="399" customWidth="1"/>
    <col min="12046" max="12046" width="15.6640625" style="399" customWidth="1"/>
    <col min="12047" max="12056" width="14.1640625" style="399"/>
    <col min="12057" max="12106" width="0" style="399" hidden="1" customWidth="1"/>
    <col min="12107" max="12288" width="14.1640625" style="399"/>
    <col min="12289" max="12289" width="4.6640625" style="399" customWidth="1"/>
    <col min="12290" max="12290" width="8.83203125" style="399" customWidth="1"/>
    <col min="12291" max="12291" width="20.83203125" style="399" customWidth="1"/>
    <col min="12292" max="12292" width="70" style="399" customWidth="1"/>
    <col min="12293" max="12293" width="6" style="399" customWidth="1"/>
    <col min="12294" max="12294" width="6.83203125" style="399" customWidth="1"/>
    <col min="12295" max="12295" width="15" style="399" customWidth="1"/>
    <col min="12296" max="12296" width="14" style="399" customWidth="1"/>
    <col min="12297" max="12299" width="18.33203125" style="399" customWidth="1"/>
    <col min="12300" max="12301" width="13.6640625" style="399" customWidth="1"/>
    <col min="12302" max="12302" width="15.6640625" style="399" customWidth="1"/>
    <col min="12303" max="12312" width="14.1640625" style="399"/>
    <col min="12313" max="12362" width="0" style="399" hidden="1" customWidth="1"/>
    <col min="12363" max="12544" width="14.1640625" style="399"/>
    <col min="12545" max="12545" width="4.6640625" style="399" customWidth="1"/>
    <col min="12546" max="12546" width="8.83203125" style="399" customWidth="1"/>
    <col min="12547" max="12547" width="20.83203125" style="399" customWidth="1"/>
    <col min="12548" max="12548" width="70" style="399" customWidth="1"/>
    <col min="12549" max="12549" width="6" style="399" customWidth="1"/>
    <col min="12550" max="12550" width="6.83203125" style="399" customWidth="1"/>
    <col min="12551" max="12551" width="15" style="399" customWidth="1"/>
    <col min="12552" max="12552" width="14" style="399" customWidth="1"/>
    <col min="12553" max="12555" width="18.33203125" style="399" customWidth="1"/>
    <col min="12556" max="12557" width="13.6640625" style="399" customWidth="1"/>
    <col min="12558" max="12558" width="15.6640625" style="399" customWidth="1"/>
    <col min="12559" max="12568" width="14.1640625" style="399"/>
    <col min="12569" max="12618" width="0" style="399" hidden="1" customWidth="1"/>
    <col min="12619" max="12800" width="14.1640625" style="399"/>
    <col min="12801" max="12801" width="4.6640625" style="399" customWidth="1"/>
    <col min="12802" max="12802" width="8.83203125" style="399" customWidth="1"/>
    <col min="12803" max="12803" width="20.83203125" style="399" customWidth="1"/>
    <col min="12804" max="12804" width="70" style="399" customWidth="1"/>
    <col min="12805" max="12805" width="6" style="399" customWidth="1"/>
    <col min="12806" max="12806" width="6.83203125" style="399" customWidth="1"/>
    <col min="12807" max="12807" width="15" style="399" customWidth="1"/>
    <col min="12808" max="12808" width="14" style="399" customWidth="1"/>
    <col min="12809" max="12811" width="18.33203125" style="399" customWidth="1"/>
    <col min="12812" max="12813" width="13.6640625" style="399" customWidth="1"/>
    <col min="12814" max="12814" width="15.6640625" style="399" customWidth="1"/>
    <col min="12815" max="12824" width="14.1640625" style="399"/>
    <col min="12825" max="12874" width="0" style="399" hidden="1" customWidth="1"/>
    <col min="12875" max="13056" width="14.1640625" style="399"/>
    <col min="13057" max="13057" width="4.6640625" style="399" customWidth="1"/>
    <col min="13058" max="13058" width="8.83203125" style="399" customWidth="1"/>
    <col min="13059" max="13059" width="20.83203125" style="399" customWidth="1"/>
    <col min="13060" max="13060" width="70" style="399" customWidth="1"/>
    <col min="13061" max="13061" width="6" style="399" customWidth="1"/>
    <col min="13062" max="13062" width="6.83203125" style="399" customWidth="1"/>
    <col min="13063" max="13063" width="15" style="399" customWidth="1"/>
    <col min="13064" max="13064" width="14" style="399" customWidth="1"/>
    <col min="13065" max="13067" width="18.33203125" style="399" customWidth="1"/>
    <col min="13068" max="13069" width="13.6640625" style="399" customWidth="1"/>
    <col min="13070" max="13070" width="15.6640625" style="399" customWidth="1"/>
    <col min="13071" max="13080" width="14.1640625" style="399"/>
    <col min="13081" max="13130" width="0" style="399" hidden="1" customWidth="1"/>
    <col min="13131" max="13312" width="14.1640625" style="399"/>
    <col min="13313" max="13313" width="4.6640625" style="399" customWidth="1"/>
    <col min="13314" max="13314" width="8.83203125" style="399" customWidth="1"/>
    <col min="13315" max="13315" width="20.83203125" style="399" customWidth="1"/>
    <col min="13316" max="13316" width="70" style="399" customWidth="1"/>
    <col min="13317" max="13317" width="6" style="399" customWidth="1"/>
    <col min="13318" max="13318" width="6.83203125" style="399" customWidth="1"/>
    <col min="13319" max="13319" width="15" style="399" customWidth="1"/>
    <col min="13320" max="13320" width="14" style="399" customWidth="1"/>
    <col min="13321" max="13323" width="18.33203125" style="399" customWidth="1"/>
    <col min="13324" max="13325" width="13.6640625" style="399" customWidth="1"/>
    <col min="13326" max="13326" width="15.6640625" style="399" customWidth="1"/>
    <col min="13327" max="13336" width="14.1640625" style="399"/>
    <col min="13337" max="13386" width="0" style="399" hidden="1" customWidth="1"/>
    <col min="13387" max="13568" width="14.1640625" style="399"/>
    <col min="13569" max="13569" width="4.6640625" style="399" customWidth="1"/>
    <col min="13570" max="13570" width="8.83203125" style="399" customWidth="1"/>
    <col min="13571" max="13571" width="20.83203125" style="399" customWidth="1"/>
    <col min="13572" max="13572" width="70" style="399" customWidth="1"/>
    <col min="13573" max="13573" width="6" style="399" customWidth="1"/>
    <col min="13574" max="13574" width="6.83203125" style="399" customWidth="1"/>
    <col min="13575" max="13575" width="15" style="399" customWidth="1"/>
    <col min="13576" max="13576" width="14" style="399" customWidth="1"/>
    <col min="13577" max="13579" width="18.33203125" style="399" customWidth="1"/>
    <col min="13580" max="13581" width="13.6640625" style="399" customWidth="1"/>
    <col min="13582" max="13582" width="15.6640625" style="399" customWidth="1"/>
    <col min="13583" max="13592" width="14.1640625" style="399"/>
    <col min="13593" max="13642" width="0" style="399" hidden="1" customWidth="1"/>
    <col min="13643" max="13824" width="14.1640625" style="399"/>
    <col min="13825" max="13825" width="4.6640625" style="399" customWidth="1"/>
    <col min="13826" max="13826" width="8.83203125" style="399" customWidth="1"/>
    <col min="13827" max="13827" width="20.83203125" style="399" customWidth="1"/>
    <col min="13828" max="13828" width="70" style="399" customWidth="1"/>
    <col min="13829" max="13829" width="6" style="399" customWidth="1"/>
    <col min="13830" max="13830" width="6.83203125" style="399" customWidth="1"/>
    <col min="13831" max="13831" width="15" style="399" customWidth="1"/>
    <col min="13832" max="13832" width="14" style="399" customWidth="1"/>
    <col min="13833" max="13835" width="18.33203125" style="399" customWidth="1"/>
    <col min="13836" max="13837" width="13.6640625" style="399" customWidth="1"/>
    <col min="13838" max="13838" width="15.6640625" style="399" customWidth="1"/>
    <col min="13839" max="13848" width="14.1640625" style="399"/>
    <col min="13849" max="13898" width="0" style="399" hidden="1" customWidth="1"/>
    <col min="13899" max="14080" width="14.1640625" style="399"/>
    <col min="14081" max="14081" width="4.6640625" style="399" customWidth="1"/>
    <col min="14082" max="14082" width="8.83203125" style="399" customWidth="1"/>
    <col min="14083" max="14083" width="20.83203125" style="399" customWidth="1"/>
    <col min="14084" max="14084" width="70" style="399" customWidth="1"/>
    <col min="14085" max="14085" width="6" style="399" customWidth="1"/>
    <col min="14086" max="14086" width="6.83203125" style="399" customWidth="1"/>
    <col min="14087" max="14087" width="15" style="399" customWidth="1"/>
    <col min="14088" max="14088" width="14" style="399" customWidth="1"/>
    <col min="14089" max="14091" width="18.33203125" style="399" customWidth="1"/>
    <col min="14092" max="14093" width="13.6640625" style="399" customWidth="1"/>
    <col min="14094" max="14094" width="15.6640625" style="399" customWidth="1"/>
    <col min="14095" max="14104" width="14.1640625" style="399"/>
    <col min="14105" max="14154" width="0" style="399" hidden="1" customWidth="1"/>
    <col min="14155" max="14336" width="14.1640625" style="399"/>
    <col min="14337" max="14337" width="4.6640625" style="399" customWidth="1"/>
    <col min="14338" max="14338" width="8.83203125" style="399" customWidth="1"/>
    <col min="14339" max="14339" width="20.83203125" style="399" customWidth="1"/>
    <col min="14340" max="14340" width="70" style="399" customWidth="1"/>
    <col min="14341" max="14341" width="6" style="399" customWidth="1"/>
    <col min="14342" max="14342" width="6.83203125" style="399" customWidth="1"/>
    <col min="14343" max="14343" width="15" style="399" customWidth="1"/>
    <col min="14344" max="14344" width="14" style="399" customWidth="1"/>
    <col min="14345" max="14347" width="18.33203125" style="399" customWidth="1"/>
    <col min="14348" max="14349" width="13.6640625" style="399" customWidth="1"/>
    <col min="14350" max="14350" width="15.6640625" style="399" customWidth="1"/>
    <col min="14351" max="14360" width="14.1640625" style="399"/>
    <col min="14361" max="14410" width="0" style="399" hidden="1" customWidth="1"/>
    <col min="14411" max="14592" width="14.1640625" style="399"/>
    <col min="14593" max="14593" width="4.6640625" style="399" customWidth="1"/>
    <col min="14594" max="14594" width="8.83203125" style="399" customWidth="1"/>
    <col min="14595" max="14595" width="20.83203125" style="399" customWidth="1"/>
    <col min="14596" max="14596" width="70" style="399" customWidth="1"/>
    <col min="14597" max="14597" width="6" style="399" customWidth="1"/>
    <col min="14598" max="14598" width="6.83203125" style="399" customWidth="1"/>
    <col min="14599" max="14599" width="15" style="399" customWidth="1"/>
    <col min="14600" max="14600" width="14" style="399" customWidth="1"/>
    <col min="14601" max="14603" width="18.33203125" style="399" customWidth="1"/>
    <col min="14604" max="14605" width="13.6640625" style="399" customWidth="1"/>
    <col min="14606" max="14606" width="15.6640625" style="399" customWidth="1"/>
    <col min="14607" max="14616" width="14.1640625" style="399"/>
    <col min="14617" max="14666" width="0" style="399" hidden="1" customWidth="1"/>
    <col min="14667" max="14848" width="14.1640625" style="399"/>
    <col min="14849" max="14849" width="4.6640625" style="399" customWidth="1"/>
    <col min="14850" max="14850" width="8.83203125" style="399" customWidth="1"/>
    <col min="14851" max="14851" width="20.83203125" style="399" customWidth="1"/>
    <col min="14852" max="14852" width="70" style="399" customWidth="1"/>
    <col min="14853" max="14853" width="6" style="399" customWidth="1"/>
    <col min="14854" max="14854" width="6.83203125" style="399" customWidth="1"/>
    <col min="14855" max="14855" width="15" style="399" customWidth="1"/>
    <col min="14856" max="14856" width="14" style="399" customWidth="1"/>
    <col min="14857" max="14859" width="18.33203125" style="399" customWidth="1"/>
    <col min="14860" max="14861" width="13.6640625" style="399" customWidth="1"/>
    <col min="14862" max="14862" width="15.6640625" style="399" customWidth="1"/>
    <col min="14863" max="14872" width="14.1640625" style="399"/>
    <col min="14873" max="14922" width="0" style="399" hidden="1" customWidth="1"/>
    <col min="14923" max="15104" width="14.1640625" style="399"/>
    <col min="15105" max="15105" width="4.6640625" style="399" customWidth="1"/>
    <col min="15106" max="15106" width="8.83203125" style="399" customWidth="1"/>
    <col min="15107" max="15107" width="20.83203125" style="399" customWidth="1"/>
    <col min="15108" max="15108" width="70" style="399" customWidth="1"/>
    <col min="15109" max="15109" width="6" style="399" customWidth="1"/>
    <col min="15110" max="15110" width="6.83203125" style="399" customWidth="1"/>
    <col min="15111" max="15111" width="15" style="399" customWidth="1"/>
    <col min="15112" max="15112" width="14" style="399" customWidth="1"/>
    <col min="15113" max="15115" width="18.33203125" style="399" customWidth="1"/>
    <col min="15116" max="15117" width="13.6640625" style="399" customWidth="1"/>
    <col min="15118" max="15118" width="15.6640625" style="399" customWidth="1"/>
    <col min="15119" max="15128" width="14.1640625" style="399"/>
    <col min="15129" max="15178" width="0" style="399" hidden="1" customWidth="1"/>
    <col min="15179" max="15360" width="14.1640625" style="399"/>
    <col min="15361" max="15361" width="4.6640625" style="399" customWidth="1"/>
    <col min="15362" max="15362" width="8.83203125" style="399" customWidth="1"/>
    <col min="15363" max="15363" width="20.83203125" style="399" customWidth="1"/>
    <col min="15364" max="15364" width="70" style="399" customWidth="1"/>
    <col min="15365" max="15365" width="6" style="399" customWidth="1"/>
    <col min="15366" max="15366" width="6.83203125" style="399" customWidth="1"/>
    <col min="15367" max="15367" width="15" style="399" customWidth="1"/>
    <col min="15368" max="15368" width="14" style="399" customWidth="1"/>
    <col min="15369" max="15371" width="18.33203125" style="399" customWidth="1"/>
    <col min="15372" max="15373" width="13.6640625" style="399" customWidth="1"/>
    <col min="15374" max="15374" width="15.6640625" style="399" customWidth="1"/>
    <col min="15375" max="15384" width="14.1640625" style="399"/>
    <col min="15385" max="15434" width="0" style="399" hidden="1" customWidth="1"/>
    <col min="15435" max="15616" width="14.1640625" style="399"/>
    <col min="15617" max="15617" width="4.6640625" style="399" customWidth="1"/>
    <col min="15618" max="15618" width="8.83203125" style="399" customWidth="1"/>
    <col min="15619" max="15619" width="20.83203125" style="399" customWidth="1"/>
    <col min="15620" max="15620" width="70" style="399" customWidth="1"/>
    <col min="15621" max="15621" width="6" style="399" customWidth="1"/>
    <col min="15622" max="15622" width="6.83203125" style="399" customWidth="1"/>
    <col min="15623" max="15623" width="15" style="399" customWidth="1"/>
    <col min="15624" max="15624" width="14" style="399" customWidth="1"/>
    <col min="15625" max="15627" width="18.33203125" style="399" customWidth="1"/>
    <col min="15628" max="15629" width="13.6640625" style="399" customWidth="1"/>
    <col min="15630" max="15630" width="15.6640625" style="399" customWidth="1"/>
    <col min="15631" max="15640" width="14.1640625" style="399"/>
    <col min="15641" max="15690" width="0" style="399" hidden="1" customWidth="1"/>
    <col min="15691" max="15872" width="14.1640625" style="399"/>
    <col min="15873" max="15873" width="4.6640625" style="399" customWidth="1"/>
    <col min="15874" max="15874" width="8.83203125" style="399" customWidth="1"/>
    <col min="15875" max="15875" width="20.83203125" style="399" customWidth="1"/>
    <col min="15876" max="15876" width="70" style="399" customWidth="1"/>
    <col min="15877" max="15877" width="6" style="399" customWidth="1"/>
    <col min="15878" max="15878" width="6.83203125" style="399" customWidth="1"/>
    <col min="15879" max="15879" width="15" style="399" customWidth="1"/>
    <col min="15880" max="15880" width="14" style="399" customWidth="1"/>
    <col min="15881" max="15883" width="18.33203125" style="399" customWidth="1"/>
    <col min="15884" max="15885" width="13.6640625" style="399" customWidth="1"/>
    <col min="15886" max="15886" width="15.6640625" style="399" customWidth="1"/>
    <col min="15887" max="15896" width="14.1640625" style="399"/>
    <col min="15897" max="15946" width="0" style="399" hidden="1" customWidth="1"/>
    <col min="15947" max="16128" width="14.1640625" style="399"/>
    <col min="16129" max="16129" width="4.6640625" style="399" customWidth="1"/>
    <col min="16130" max="16130" width="8.83203125" style="399" customWidth="1"/>
    <col min="16131" max="16131" width="20.83203125" style="399" customWidth="1"/>
    <col min="16132" max="16132" width="70" style="399" customWidth="1"/>
    <col min="16133" max="16133" width="6" style="399" customWidth="1"/>
    <col min="16134" max="16134" width="6.83203125" style="399" customWidth="1"/>
    <col min="16135" max="16135" width="15" style="399" customWidth="1"/>
    <col min="16136" max="16136" width="14" style="399" customWidth="1"/>
    <col min="16137" max="16139" width="18.33203125" style="399" customWidth="1"/>
    <col min="16140" max="16141" width="13.6640625" style="399" customWidth="1"/>
    <col min="16142" max="16142" width="15.6640625" style="399" customWidth="1"/>
    <col min="16143" max="16152" width="14.1640625" style="399"/>
    <col min="16153" max="16202" width="0" style="399" hidden="1" customWidth="1"/>
    <col min="16203" max="16384" width="14.1640625" style="399"/>
  </cols>
  <sheetData>
    <row r="1" spans="1:64" ht="54.75" customHeight="1">
      <c r="A1" s="436" t="s">
        <v>605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AS1" s="400">
        <f>SUM(AJ1:AJ2)</f>
        <v>0</v>
      </c>
      <c r="AT1" s="400">
        <f>SUM(AK1:AK2)</f>
        <v>0</v>
      </c>
      <c r="AU1" s="400">
        <f>SUM(AL1:AL2)</f>
        <v>0</v>
      </c>
    </row>
    <row r="2" spans="1:64" ht="15" customHeight="1">
      <c r="A2" s="437" t="s">
        <v>299</v>
      </c>
      <c r="B2" s="438"/>
      <c r="C2" s="438"/>
      <c r="D2" s="441" t="s">
        <v>606</v>
      </c>
      <c r="E2" s="438" t="s">
        <v>607</v>
      </c>
      <c r="F2" s="438"/>
      <c r="G2" s="438"/>
      <c r="H2" s="438" t="s">
        <v>608</v>
      </c>
      <c r="I2" s="443" t="s">
        <v>94</v>
      </c>
      <c r="J2" s="443" t="s">
        <v>609</v>
      </c>
      <c r="K2" s="438"/>
      <c r="L2" s="438"/>
      <c r="M2" s="438"/>
      <c r="N2" s="444"/>
    </row>
    <row r="3" spans="1:64" ht="15" customHeight="1">
      <c r="A3" s="439"/>
      <c r="B3" s="440"/>
      <c r="C3" s="440"/>
      <c r="D3" s="442"/>
      <c r="E3" s="440"/>
      <c r="F3" s="440"/>
      <c r="G3" s="440"/>
      <c r="H3" s="440"/>
      <c r="I3" s="440"/>
      <c r="J3" s="440"/>
      <c r="K3" s="440"/>
      <c r="L3" s="440"/>
      <c r="M3" s="440"/>
      <c r="N3" s="445"/>
    </row>
    <row r="4" spans="1:64" ht="15" customHeight="1">
      <c r="A4" s="446" t="s">
        <v>610</v>
      </c>
      <c r="B4" s="440"/>
      <c r="C4" s="440"/>
      <c r="D4" s="447" t="s">
        <v>603</v>
      </c>
      <c r="E4" s="440" t="s">
        <v>611</v>
      </c>
      <c r="F4" s="440"/>
      <c r="G4" s="440"/>
      <c r="H4" s="440" t="s">
        <v>612</v>
      </c>
      <c r="I4" s="447" t="s">
        <v>98</v>
      </c>
      <c r="J4" s="447" t="s">
        <v>613</v>
      </c>
      <c r="K4" s="440"/>
      <c r="L4" s="440"/>
      <c r="M4" s="440"/>
      <c r="N4" s="445"/>
    </row>
    <row r="5" spans="1:64" ht="15" customHeight="1">
      <c r="A5" s="439"/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5"/>
    </row>
    <row r="6" spans="1:64" ht="15" customHeight="1">
      <c r="A6" s="446" t="s">
        <v>614</v>
      </c>
      <c r="B6" s="440"/>
      <c r="C6" s="440"/>
      <c r="D6" s="447" t="s">
        <v>615</v>
      </c>
      <c r="E6" s="440" t="s">
        <v>616</v>
      </c>
      <c r="F6" s="440"/>
      <c r="G6" s="440"/>
      <c r="H6" s="440" t="s">
        <v>608</v>
      </c>
      <c r="I6" s="447" t="s">
        <v>97</v>
      </c>
      <c r="J6" s="440" t="s">
        <v>617</v>
      </c>
      <c r="K6" s="440"/>
      <c r="L6" s="440"/>
      <c r="M6" s="440"/>
      <c r="N6" s="445"/>
    </row>
    <row r="7" spans="1:64" ht="15" customHeight="1">
      <c r="A7" s="439"/>
      <c r="B7" s="440"/>
      <c r="C7" s="440"/>
      <c r="D7" s="440"/>
      <c r="E7" s="440"/>
      <c r="F7" s="440"/>
      <c r="G7" s="440"/>
      <c r="H7" s="440"/>
      <c r="I7" s="440"/>
      <c r="J7" s="440"/>
      <c r="K7" s="440"/>
      <c r="L7" s="440"/>
      <c r="M7" s="440"/>
      <c r="N7" s="445"/>
    </row>
    <row r="8" spans="1:64" ht="15" customHeight="1">
      <c r="A8" s="446" t="s">
        <v>618</v>
      </c>
      <c r="B8" s="440"/>
      <c r="C8" s="440"/>
      <c r="D8" s="447" t="s">
        <v>608</v>
      </c>
      <c r="E8" s="440" t="s">
        <v>619</v>
      </c>
      <c r="F8" s="440"/>
      <c r="G8" s="440"/>
      <c r="H8" s="440" t="s">
        <v>1359</v>
      </c>
      <c r="I8" s="447" t="s">
        <v>621</v>
      </c>
      <c r="J8" s="447" t="s">
        <v>622</v>
      </c>
      <c r="K8" s="440"/>
      <c r="L8" s="440"/>
      <c r="M8" s="440"/>
      <c r="N8" s="445"/>
    </row>
    <row r="9" spans="1:64" ht="15" customHeight="1" thickBot="1">
      <c r="A9" s="439"/>
      <c r="B9" s="440"/>
      <c r="C9" s="440"/>
      <c r="D9" s="440"/>
      <c r="E9" s="440"/>
      <c r="F9" s="440"/>
      <c r="G9" s="440"/>
      <c r="H9" s="440"/>
      <c r="I9" s="440"/>
      <c r="J9" s="440"/>
      <c r="K9" s="440"/>
      <c r="L9" s="440"/>
      <c r="M9" s="440"/>
      <c r="N9" s="445"/>
    </row>
    <row r="10" spans="1:64" ht="15" customHeight="1">
      <c r="A10" s="403" t="s">
        <v>623</v>
      </c>
      <c r="B10" s="404" t="s">
        <v>624</v>
      </c>
      <c r="C10" s="404" t="s">
        <v>625</v>
      </c>
      <c r="D10" s="448" t="s">
        <v>626</v>
      </c>
      <c r="E10" s="449"/>
      <c r="F10" s="404" t="s">
        <v>627</v>
      </c>
      <c r="G10" s="405" t="s">
        <v>628</v>
      </c>
      <c r="H10" s="406" t="s">
        <v>629</v>
      </c>
      <c r="I10" s="450" t="s">
        <v>630</v>
      </c>
      <c r="J10" s="451"/>
      <c r="K10" s="452"/>
      <c r="L10" s="451" t="s">
        <v>631</v>
      </c>
      <c r="M10" s="451"/>
      <c r="N10" s="407" t="s">
        <v>632</v>
      </c>
      <c r="BK10" s="408" t="s">
        <v>633</v>
      </c>
      <c r="BL10" s="409" t="s">
        <v>634</v>
      </c>
    </row>
    <row r="11" spans="1:64" ht="15" customHeight="1" thickBot="1">
      <c r="A11" s="410" t="s">
        <v>608</v>
      </c>
      <c r="B11" s="411" t="s">
        <v>608</v>
      </c>
      <c r="C11" s="411" t="s">
        <v>608</v>
      </c>
      <c r="D11" s="453" t="s">
        <v>635</v>
      </c>
      <c r="E11" s="454"/>
      <c r="F11" s="411" t="s">
        <v>608</v>
      </c>
      <c r="G11" s="411" t="s">
        <v>608</v>
      </c>
      <c r="H11" s="412" t="s">
        <v>636</v>
      </c>
      <c r="I11" s="413" t="s">
        <v>637</v>
      </c>
      <c r="J11" s="414" t="s">
        <v>638</v>
      </c>
      <c r="K11" s="415" t="s">
        <v>639</v>
      </c>
      <c r="L11" s="414" t="s">
        <v>640</v>
      </c>
      <c r="M11" s="412" t="s">
        <v>639</v>
      </c>
      <c r="N11" s="413" t="s">
        <v>641</v>
      </c>
      <c r="Z11" s="408" t="s">
        <v>642</v>
      </c>
      <c r="AA11" s="408" t="s">
        <v>643</v>
      </c>
      <c r="AB11" s="408" t="s">
        <v>644</v>
      </c>
      <c r="AC11" s="408" t="s">
        <v>645</v>
      </c>
      <c r="AD11" s="408" t="s">
        <v>646</v>
      </c>
      <c r="AE11" s="408" t="s">
        <v>647</v>
      </c>
      <c r="AF11" s="408" t="s">
        <v>648</v>
      </c>
      <c r="AG11" s="408" t="s">
        <v>649</v>
      </c>
      <c r="AH11" s="408" t="s">
        <v>650</v>
      </c>
      <c r="BH11" s="408" t="s">
        <v>651</v>
      </c>
      <c r="BI11" s="408" t="s">
        <v>652</v>
      </c>
      <c r="BJ11" s="408" t="s">
        <v>653</v>
      </c>
    </row>
    <row r="12" spans="1:64" ht="15" customHeight="1">
      <c r="A12" s="416" t="s">
        <v>654</v>
      </c>
      <c r="B12" s="417" t="s">
        <v>654</v>
      </c>
      <c r="C12" s="417" t="s">
        <v>655</v>
      </c>
      <c r="D12" s="455" t="s">
        <v>656</v>
      </c>
      <c r="E12" s="455"/>
      <c r="F12" s="418" t="s">
        <v>608</v>
      </c>
      <c r="G12" s="418" t="s">
        <v>608</v>
      </c>
      <c r="H12" s="418" t="s">
        <v>608</v>
      </c>
      <c r="I12" s="400">
        <f>SUM(I13:I15)</f>
        <v>0</v>
      </c>
      <c r="J12" s="400">
        <f>SUM(J13:J15)</f>
        <v>0</v>
      </c>
      <c r="K12" s="400">
        <f>SUM(K13:K15)</f>
        <v>0</v>
      </c>
      <c r="L12" s="408" t="s">
        <v>654</v>
      </c>
      <c r="M12" s="400">
        <f>SUM(M13:M15)</f>
        <v>0</v>
      </c>
      <c r="N12" s="419" t="s">
        <v>654</v>
      </c>
      <c r="AI12" s="408" t="s">
        <v>654</v>
      </c>
      <c r="AS12" s="400">
        <f>SUM(AJ13:AJ15)</f>
        <v>0</v>
      </c>
      <c r="AT12" s="400">
        <f>SUM(AK13:AK15)</f>
        <v>0</v>
      </c>
      <c r="AU12" s="400">
        <f>SUM(AL13:AL15)</f>
        <v>0</v>
      </c>
    </row>
    <row r="13" spans="1:64" ht="15" customHeight="1">
      <c r="A13" s="401" t="s">
        <v>657</v>
      </c>
      <c r="B13" s="402" t="s">
        <v>654</v>
      </c>
      <c r="C13" s="402" t="s">
        <v>658</v>
      </c>
      <c r="D13" s="440" t="s">
        <v>659</v>
      </c>
      <c r="E13" s="440"/>
      <c r="F13" s="402" t="s">
        <v>660</v>
      </c>
      <c r="G13" s="420">
        <v>1</v>
      </c>
      <c r="H13" s="420"/>
      <c r="I13" s="420">
        <f>G13*AO13</f>
        <v>0</v>
      </c>
      <c r="J13" s="420">
        <f>G13*AP13</f>
        <v>0</v>
      </c>
      <c r="K13" s="420">
        <f>G13*H13</f>
        <v>0</v>
      </c>
      <c r="L13" s="420">
        <v>0</v>
      </c>
      <c r="M13" s="420">
        <f>G13*L13</f>
        <v>0</v>
      </c>
      <c r="N13" s="421" t="s">
        <v>654</v>
      </c>
      <c r="Z13" s="420">
        <f>IF(AQ13="5",BJ13,0)</f>
        <v>0</v>
      </c>
      <c r="AB13" s="420">
        <f>IF(AQ13="1",BH13,0)</f>
        <v>0</v>
      </c>
      <c r="AC13" s="420">
        <f>IF(AQ13="1",BI13,0)</f>
        <v>0</v>
      </c>
      <c r="AD13" s="420">
        <f>IF(AQ13="7",BH13,0)</f>
        <v>0</v>
      </c>
      <c r="AE13" s="420">
        <f>IF(AQ13="7",BI13,0)</f>
        <v>0</v>
      </c>
      <c r="AF13" s="420">
        <f>IF(AQ13="2",BH13,0)</f>
        <v>0</v>
      </c>
      <c r="AG13" s="420">
        <f>IF(AQ13="2",BI13,0)</f>
        <v>0</v>
      </c>
      <c r="AH13" s="420">
        <f>IF(AQ13="0",BJ13,0)</f>
        <v>0</v>
      </c>
      <c r="AI13" s="408" t="s">
        <v>654</v>
      </c>
      <c r="AJ13" s="420">
        <f>IF(AN13=0,K13,0)</f>
        <v>0</v>
      </c>
      <c r="AK13" s="420">
        <f>IF(AN13=15,K13,0)</f>
        <v>0</v>
      </c>
      <c r="AL13" s="420">
        <f>IF(AN13=21,K13,0)</f>
        <v>0</v>
      </c>
      <c r="AN13" s="420">
        <v>21</v>
      </c>
      <c r="AO13" s="420">
        <f>H13*0</f>
        <v>0</v>
      </c>
      <c r="AP13" s="420">
        <f>H13*(1-0)</f>
        <v>0</v>
      </c>
      <c r="AQ13" s="422" t="s">
        <v>657</v>
      </c>
      <c r="AV13" s="420">
        <f>AW13+AX13</f>
        <v>0</v>
      </c>
      <c r="AW13" s="420">
        <f>G13*AO13</f>
        <v>0</v>
      </c>
      <c r="AX13" s="420">
        <f>G13*AP13</f>
        <v>0</v>
      </c>
      <c r="AY13" s="422" t="s">
        <v>661</v>
      </c>
      <c r="AZ13" s="422" t="s">
        <v>661</v>
      </c>
      <c r="BA13" s="408" t="s">
        <v>662</v>
      </c>
      <c r="BC13" s="420">
        <f>AW13+AX13</f>
        <v>0</v>
      </c>
      <c r="BD13" s="420">
        <f>H13/(100-BE13)*100</f>
        <v>0</v>
      </c>
      <c r="BE13" s="420">
        <v>0</v>
      </c>
      <c r="BF13" s="420">
        <f>M13</f>
        <v>0</v>
      </c>
      <c r="BH13" s="420">
        <f>G13*AO13</f>
        <v>0</v>
      </c>
      <c r="BI13" s="420">
        <f>G13*AP13</f>
        <v>0</v>
      </c>
      <c r="BJ13" s="420">
        <f>G13*H13</f>
        <v>0</v>
      </c>
      <c r="BK13" s="420"/>
      <c r="BL13" s="420">
        <v>0</v>
      </c>
    </row>
    <row r="14" spans="1:64" ht="15" customHeight="1">
      <c r="A14" s="423"/>
      <c r="D14" s="424" t="s">
        <v>663</v>
      </c>
      <c r="E14" s="424" t="s">
        <v>654</v>
      </c>
      <c r="G14" s="425">
        <v>1</v>
      </c>
      <c r="N14" s="426"/>
    </row>
    <row r="15" spans="1:64" ht="15" customHeight="1">
      <c r="A15" s="401" t="s">
        <v>666</v>
      </c>
      <c r="B15" s="402" t="s">
        <v>654</v>
      </c>
      <c r="C15" s="402" t="s">
        <v>1360</v>
      </c>
      <c r="D15" s="440" t="s">
        <v>1361</v>
      </c>
      <c r="E15" s="440"/>
      <c r="F15" s="402" t="s">
        <v>660</v>
      </c>
      <c r="G15" s="420">
        <v>1</v>
      </c>
      <c r="H15" s="420"/>
      <c r="I15" s="420">
        <f>G15*AO15</f>
        <v>0</v>
      </c>
      <c r="J15" s="420">
        <f>G15*AP15</f>
        <v>0</v>
      </c>
      <c r="K15" s="420">
        <f>G15*H15</f>
        <v>0</v>
      </c>
      <c r="L15" s="420">
        <v>0</v>
      </c>
      <c r="M15" s="420">
        <f>G15*L15</f>
        <v>0</v>
      </c>
      <c r="N15" s="421" t="s">
        <v>654</v>
      </c>
      <c r="Z15" s="420">
        <f>IF(AQ15="5",BJ15,0)</f>
        <v>0</v>
      </c>
      <c r="AB15" s="420">
        <f>IF(AQ15="1",BH15,0)</f>
        <v>0</v>
      </c>
      <c r="AC15" s="420">
        <f>IF(AQ15="1",BI15,0)</f>
        <v>0</v>
      </c>
      <c r="AD15" s="420">
        <f>IF(AQ15="7",BH15,0)</f>
        <v>0</v>
      </c>
      <c r="AE15" s="420">
        <f>IF(AQ15="7",BI15,0)</f>
        <v>0</v>
      </c>
      <c r="AF15" s="420">
        <f>IF(AQ15="2",BH15,0)</f>
        <v>0</v>
      </c>
      <c r="AG15" s="420">
        <f>IF(AQ15="2",BI15,0)</f>
        <v>0</v>
      </c>
      <c r="AH15" s="420">
        <f>IF(AQ15="0",BJ15,0)</f>
        <v>0</v>
      </c>
      <c r="AI15" s="408" t="s">
        <v>654</v>
      </c>
      <c r="AJ15" s="420">
        <f>IF(AN15=0,K15,0)</f>
        <v>0</v>
      </c>
      <c r="AK15" s="420">
        <f>IF(AN15=15,K15,0)</f>
        <v>0</v>
      </c>
      <c r="AL15" s="420">
        <f>IF(AN15=21,K15,0)</f>
        <v>0</v>
      </c>
      <c r="AN15" s="420">
        <v>21</v>
      </c>
      <c r="AO15" s="420">
        <f>H15*0.33333335</f>
        <v>0</v>
      </c>
      <c r="AP15" s="420">
        <f>H15*(1-0.33333335)</f>
        <v>0</v>
      </c>
      <c r="AQ15" s="422" t="s">
        <v>657</v>
      </c>
      <c r="AV15" s="420">
        <f>AW15+AX15</f>
        <v>0</v>
      </c>
      <c r="AW15" s="420">
        <f>G15*AO15</f>
        <v>0</v>
      </c>
      <c r="AX15" s="420">
        <f>G15*AP15</f>
        <v>0</v>
      </c>
      <c r="AY15" s="422" t="s">
        <v>661</v>
      </c>
      <c r="AZ15" s="422" t="s">
        <v>661</v>
      </c>
      <c r="BA15" s="408" t="s">
        <v>662</v>
      </c>
      <c r="BC15" s="420">
        <f>AW15+AX15</f>
        <v>0</v>
      </c>
      <c r="BD15" s="420">
        <f>H15/(100-BE15)*100</f>
        <v>0</v>
      </c>
      <c r="BE15" s="420">
        <v>0</v>
      </c>
      <c r="BF15" s="420">
        <f>M15</f>
        <v>0</v>
      </c>
      <c r="BH15" s="420">
        <f>G15*AO15</f>
        <v>0</v>
      </c>
      <c r="BI15" s="420">
        <f>G15*AP15</f>
        <v>0</v>
      </c>
      <c r="BJ15" s="420">
        <f>G15*H15</f>
        <v>0</v>
      </c>
      <c r="BK15" s="420"/>
      <c r="BL15" s="420">
        <v>0</v>
      </c>
    </row>
    <row r="16" spans="1:64" ht="15" customHeight="1">
      <c r="A16" s="423"/>
      <c r="D16" s="424" t="s">
        <v>1362</v>
      </c>
      <c r="E16" s="424" t="s">
        <v>654</v>
      </c>
      <c r="G16" s="425">
        <v>1</v>
      </c>
      <c r="N16" s="426"/>
    </row>
    <row r="17" spans="1:64" ht="15" customHeight="1">
      <c r="A17" s="416" t="s">
        <v>654</v>
      </c>
      <c r="B17" s="417" t="s">
        <v>654</v>
      </c>
      <c r="C17" s="417" t="s">
        <v>664</v>
      </c>
      <c r="D17" s="455" t="s">
        <v>665</v>
      </c>
      <c r="E17" s="455"/>
      <c r="F17" s="418" t="s">
        <v>608</v>
      </c>
      <c r="G17" s="418" t="s">
        <v>608</v>
      </c>
      <c r="H17" s="418"/>
      <c r="I17" s="400">
        <f>SUM(I18:I46)</f>
        <v>0</v>
      </c>
      <c r="J17" s="400">
        <f>SUM(J18:J46)</f>
        <v>0</v>
      </c>
      <c r="K17" s="400">
        <f>SUM(K18:K46)</f>
        <v>0</v>
      </c>
      <c r="L17" s="408" t="s">
        <v>654</v>
      </c>
      <c r="M17" s="400">
        <f>SUM(M18:M46)</f>
        <v>837.68507</v>
      </c>
      <c r="N17" s="419" t="s">
        <v>654</v>
      </c>
      <c r="AI17" s="408" t="s">
        <v>654</v>
      </c>
      <c r="AS17" s="400">
        <f>SUM(AJ18:AJ46)</f>
        <v>0</v>
      </c>
      <c r="AT17" s="400">
        <f>SUM(AK18:AK46)</f>
        <v>0</v>
      </c>
      <c r="AU17" s="400">
        <f>SUM(AL18:AL46)</f>
        <v>0</v>
      </c>
    </row>
    <row r="18" spans="1:64" ht="15" customHeight="1">
      <c r="A18" s="401" t="s">
        <v>671</v>
      </c>
      <c r="B18" s="402" t="s">
        <v>654</v>
      </c>
      <c r="C18" s="402" t="s">
        <v>667</v>
      </c>
      <c r="D18" s="440" t="s">
        <v>668</v>
      </c>
      <c r="E18" s="440"/>
      <c r="F18" s="402" t="s">
        <v>7</v>
      </c>
      <c r="G18" s="420">
        <v>96</v>
      </c>
      <c r="H18" s="420"/>
      <c r="I18" s="420">
        <f>G18*AO18</f>
        <v>0</v>
      </c>
      <c r="J18" s="420">
        <f>G18*AP18</f>
        <v>0</v>
      </c>
      <c r="K18" s="420">
        <f>G18*H18</f>
        <v>0</v>
      </c>
      <c r="L18" s="420">
        <v>2.478E-2</v>
      </c>
      <c r="M18" s="420">
        <f>G18*L18</f>
        <v>2.3788800000000001</v>
      </c>
      <c r="N18" s="421" t="s">
        <v>1358</v>
      </c>
      <c r="Z18" s="420">
        <f>IF(AQ18="5",BJ18,0)</f>
        <v>0</v>
      </c>
      <c r="AB18" s="420">
        <f>IF(AQ18="1",BH18,0)</f>
        <v>0</v>
      </c>
      <c r="AC18" s="420">
        <f>IF(AQ18="1",BI18,0)</f>
        <v>0</v>
      </c>
      <c r="AD18" s="420">
        <f>IF(AQ18="7",BH18,0)</f>
        <v>0</v>
      </c>
      <c r="AE18" s="420">
        <f>IF(AQ18="7",BI18,0)</f>
        <v>0</v>
      </c>
      <c r="AF18" s="420">
        <f>IF(AQ18="2",BH18,0)</f>
        <v>0</v>
      </c>
      <c r="AG18" s="420">
        <f>IF(AQ18="2",BI18,0)</f>
        <v>0</v>
      </c>
      <c r="AH18" s="420">
        <f>IF(AQ18="0",BJ18,0)</f>
        <v>0</v>
      </c>
      <c r="AI18" s="408" t="s">
        <v>654</v>
      </c>
      <c r="AJ18" s="420">
        <f>IF(AN18=0,K18,0)</f>
        <v>0</v>
      </c>
      <c r="AK18" s="420">
        <f>IF(AN18=15,K18,0)</f>
        <v>0</v>
      </c>
      <c r="AL18" s="420">
        <f>IF(AN18=21,K18,0)</f>
        <v>0</v>
      </c>
      <c r="AN18" s="420">
        <v>21</v>
      </c>
      <c r="AO18" s="420">
        <f>H18*0.352956636005256</f>
        <v>0</v>
      </c>
      <c r="AP18" s="420">
        <f>H18*(1-0.352956636005256)</f>
        <v>0</v>
      </c>
      <c r="AQ18" s="422" t="s">
        <v>657</v>
      </c>
      <c r="AV18" s="420">
        <f>AW18+AX18</f>
        <v>0</v>
      </c>
      <c r="AW18" s="420">
        <f>G18*AO18</f>
        <v>0</v>
      </c>
      <c r="AX18" s="420">
        <f>G18*AP18</f>
        <v>0</v>
      </c>
      <c r="AY18" s="422" t="s">
        <v>669</v>
      </c>
      <c r="AZ18" s="422" t="s">
        <v>670</v>
      </c>
      <c r="BA18" s="408" t="s">
        <v>662</v>
      </c>
      <c r="BC18" s="420">
        <f>AW18+AX18</f>
        <v>0</v>
      </c>
      <c r="BD18" s="420">
        <f>H18/(100-BE18)*100</f>
        <v>0</v>
      </c>
      <c r="BE18" s="420">
        <v>0</v>
      </c>
      <c r="BF18" s="420">
        <f>M18</f>
        <v>2.3788800000000001</v>
      </c>
      <c r="BH18" s="420">
        <f>G18*AO18</f>
        <v>0</v>
      </c>
      <c r="BI18" s="420">
        <f>G18*AP18</f>
        <v>0</v>
      </c>
      <c r="BJ18" s="420">
        <f>G18*H18</f>
        <v>0</v>
      </c>
      <c r="BK18" s="420"/>
      <c r="BL18" s="420">
        <v>11</v>
      </c>
    </row>
    <row r="19" spans="1:64" ht="15" customHeight="1">
      <c r="A19" s="423"/>
      <c r="D19" s="424" t="s">
        <v>1363</v>
      </c>
      <c r="E19" s="424" t="s">
        <v>654</v>
      </c>
      <c r="G19" s="425">
        <v>27.000000000000004</v>
      </c>
      <c r="N19" s="426"/>
    </row>
    <row r="20" spans="1:64" ht="15" customHeight="1">
      <c r="A20" s="423"/>
      <c r="D20" s="424" t="s">
        <v>1364</v>
      </c>
      <c r="E20" s="424" t="s">
        <v>654</v>
      </c>
      <c r="G20" s="425">
        <v>38</v>
      </c>
      <c r="N20" s="426"/>
    </row>
    <row r="21" spans="1:64" ht="15" customHeight="1">
      <c r="A21" s="423"/>
      <c r="D21" s="424" t="s">
        <v>1365</v>
      </c>
      <c r="E21" s="424" t="s">
        <v>654</v>
      </c>
      <c r="G21" s="425">
        <v>31.000000000000004</v>
      </c>
      <c r="N21" s="426"/>
    </row>
    <row r="22" spans="1:64" ht="15" customHeight="1">
      <c r="A22" s="401" t="s">
        <v>674</v>
      </c>
      <c r="B22" s="402" t="s">
        <v>654</v>
      </c>
      <c r="C22" s="402" t="s">
        <v>672</v>
      </c>
      <c r="D22" s="440" t="s">
        <v>673</v>
      </c>
      <c r="E22" s="440"/>
      <c r="F22" s="402" t="s">
        <v>7</v>
      </c>
      <c r="G22" s="420">
        <v>115</v>
      </c>
      <c r="H22" s="420"/>
      <c r="I22" s="420">
        <f>G22*AO22</f>
        <v>0</v>
      </c>
      <c r="J22" s="420">
        <f>G22*AP22</f>
        <v>0</v>
      </c>
      <c r="K22" s="420">
        <f>G22*H22</f>
        <v>0</v>
      </c>
      <c r="L22" s="420">
        <v>1.2710000000000001E-2</v>
      </c>
      <c r="M22" s="420">
        <f>G22*L22</f>
        <v>1.4616500000000001</v>
      </c>
      <c r="N22" s="421" t="s">
        <v>1358</v>
      </c>
      <c r="Z22" s="420">
        <f>IF(AQ22="5",BJ22,0)</f>
        <v>0</v>
      </c>
      <c r="AB22" s="420">
        <f>IF(AQ22="1",BH22,0)</f>
        <v>0</v>
      </c>
      <c r="AC22" s="420">
        <f>IF(AQ22="1",BI22,0)</f>
        <v>0</v>
      </c>
      <c r="AD22" s="420">
        <f>IF(AQ22="7",BH22,0)</f>
        <v>0</v>
      </c>
      <c r="AE22" s="420">
        <f>IF(AQ22="7",BI22,0)</f>
        <v>0</v>
      </c>
      <c r="AF22" s="420">
        <f>IF(AQ22="2",BH22,0)</f>
        <v>0</v>
      </c>
      <c r="AG22" s="420">
        <f>IF(AQ22="2",BI22,0)</f>
        <v>0</v>
      </c>
      <c r="AH22" s="420">
        <f>IF(AQ22="0",BJ22,0)</f>
        <v>0</v>
      </c>
      <c r="AI22" s="408" t="s">
        <v>654</v>
      </c>
      <c r="AJ22" s="420">
        <f>IF(AN22=0,K22,0)</f>
        <v>0</v>
      </c>
      <c r="AK22" s="420">
        <f>IF(AN22=15,K22,0)</f>
        <v>0</v>
      </c>
      <c r="AL22" s="420">
        <f>IF(AN22=21,K22,0)</f>
        <v>0</v>
      </c>
      <c r="AN22" s="420">
        <v>21</v>
      </c>
      <c r="AO22" s="420">
        <f>H22*0.310805661046794</f>
        <v>0</v>
      </c>
      <c r="AP22" s="420">
        <f>H22*(1-0.310805661046794)</f>
        <v>0</v>
      </c>
      <c r="AQ22" s="422" t="s">
        <v>657</v>
      </c>
      <c r="AV22" s="420">
        <f>AW22+AX22</f>
        <v>0</v>
      </c>
      <c r="AW22" s="420">
        <f>G22*AO22</f>
        <v>0</v>
      </c>
      <c r="AX22" s="420">
        <f>G22*AP22</f>
        <v>0</v>
      </c>
      <c r="AY22" s="422" t="s">
        <v>669</v>
      </c>
      <c r="AZ22" s="422" t="s">
        <v>670</v>
      </c>
      <c r="BA22" s="408" t="s">
        <v>662</v>
      </c>
      <c r="BC22" s="420">
        <f>AW22+AX22</f>
        <v>0</v>
      </c>
      <c r="BD22" s="420">
        <f>H22/(100-BE22)*100</f>
        <v>0</v>
      </c>
      <c r="BE22" s="420">
        <v>0</v>
      </c>
      <c r="BF22" s="420">
        <f>M22</f>
        <v>1.4616500000000001</v>
      </c>
      <c r="BH22" s="420">
        <f>G22*AO22</f>
        <v>0</v>
      </c>
      <c r="BI22" s="420">
        <f>G22*AP22</f>
        <v>0</v>
      </c>
      <c r="BJ22" s="420">
        <f>G22*H22</f>
        <v>0</v>
      </c>
      <c r="BK22" s="420"/>
      <c r="BL22" s="420">
        <v>11</v>
      </c>
    </row>
    <row r="23" spans="1:64" ht="15" customHeight="1">
      <c r="A23" s="423"/>
      <c r="D23" s="424" t="s">
        <v>1366</v>
      </c>
      <c r="E23" s="424" t="s">
        <v>654</v>
      </c>
      <c r="G23" s="425">
        <v>29.000000000000004</v>
      </c>
      <c r="N23" s="426"/>
    </row>
    <row r="24" spans="1:64" ht="15" customHeight="1">
      <c r="A24" s="423"/>
      <c r="D24" s="424" t="s">
        <v>1367</v>
      </c>
      <c r="E24" s="424" t="s">
        <v>654</v>
      </c>
      <c r="G24" s="425">
        <v>42</v>
      </c>
      <c r="N24" s="426"/>
    </row>
    <row r="25" spans="1:64" ht="15" customHeight="1">
      <c r="A25" s="423"/>
      <c r="D25" s="424" t="s">
        <v>1368</v>
      </c>
      <c r="E25" s="424" t="s">
        <v>654</v>
      </c>
      <c r="G25" s="425">
        <v>44.000000000000007</v>
      </c>
      <c r="N25" s="426"/>
    </row>
    <row r="26" spans="1:64" ht="15" customHeight="1">
      <c r="A26" s="401" t="s">
        <v>680</v>
      </c>
      <c r="B26" s="402" t="s">
        <v>654</v>
      </c>
      <c r="C26" s="402" t="s">
        <v>675</v>
      </c>
      <c r="D26" s="440" t="s">
        <v>676</v>
      </c>
      <c r="E26" s="440"/>
      <c r="F26" s="402" t="s">
        <v>40</v>
      </c>
      <c r="G26" s="420">
        <v>180.65</v>
      </c>
      <c r="H26" s="420"/>
      <c r="I26" s="420">
        <f>G26*AO26</f>
        <v>0</v>
      </c>
      <c r="J26" s="420">
        <f>G26*AP26</f>
        <v>0</v>
      </c>
      <c r="K26" s="420">
        <f>G26*H26</f>
        <v>0</v>
      </c>
      <c r="L26" s="420">
        <v>0.22500000000000001</v>
      </c>
      <c r="M26" s="420">
        <f>G26*L26</f>
        <v>40.646250000000002</v>
      </c>
      <c r="N26" s="421" t="s">
        <v>1358</v>
      </c>
      <c r="Z26" s="420">
        <f>IF(AQ26="5",BJ26,0)</f>
        <v>0</v>
      </c>
      <c r="AB26" s="420">
        <f>IF(AQ26="1",BH26,0)</f>
        <v>0</v>
      </c>
      <c r="AC26" s="420">
        <f>IF(AQ26="1",BI26,0)</f>
        <v>0</v>
      </c>
      <c r="AD26" s="420">
        <f>IF(AQ26="7",BH26,0)</f>
        <v>0</v>
      </c>
      <c r="AE26" s="420">
        <f>IF(AQ26="7",BI26,0)</f>
        <v>0</v>
      </c>
      <c r="AF26" s="420">
        <f>IF(AQ26="2",BH26,0)</f>
        <v>0</v>
      </c>
      <c r="AG26" s="420">
        <f>IF(AQ26="2",BI26,0)</f>
        <v>0</v>
      </c>
      <c r="AH26" s="420">
        <f>IF(AQ26="0",BJ26,0)</f>
        <v>0</v>
      </c>
      <c r="AI26" s="408" t="s">
        <v>654</v>
      </c>
      <c r="AJ26" s="420">
        <f>IF(AN26=0,K26,0)</f>
        <v>0</v>
      </c>
      <c r="AK26" s="420">
        <f>IF(AN26=15,K26,0)</f>
        <v>0</v>
      </c>
      <c r="AL26" s="420">
        <f>IF(AN26=21,K26,0)</f>
        <v>0</v>
      </c>
      <c r="AN26" s="420">
        <v>21</v>
      </c>
      <c r="AO26" s="420">
        <f>H26*0</f>
        <v>0</v>
      </c>
      <c r="AP26" s="420">
        <f>H26*(1-0)</f>
        <v>0</v>
      </c>
      <c r="AQ26" s="422" t="s">
        <v>657</v>
      </c>
      <c r="AV26" s="420">
        <f>AW26+AX26</f>
        <v>0</v>
      </c>
      <c r="AW26" s="420">
        <f>G26*AO26</f>
        <v>0</v>
      </c>
      <c r="AX26" s="420">
        <f>G26*AP26</f>
        <v>0</v>
      </c>
      <c r="AY26" s="422" t="s">
        <v>669</v>
      </c>
      <c r="AZ26" s="422" t="s">
        <v>670</v>
      </c>
      <c r="BA26" s="408" t="s">
        <v>662</v>
      </c>
      <c r="BC26" s="420">
        <f>AW26+AX26</f>
        <v>0</v>
      </c>
      <c r="BD26" s="420">
        <f>H26/(100-BE26)*100</f>
        <v>0</v>
      </c>
      <c r="BE26" s="420">
        <v>0</v>
      </c>
      <c r="BF26" s="420">
        <f>M26</f>
        <v>40.646250000000002</v>
      </c>
      <c r="BH26" s="420">
        <f>G26*AO26</f>
        <v>0</v>
      </c>
      <c r="BI26" s="420">
        <f>G26*AP26</f>
        <v>0</v>
      </c>
      <c r="BJ26" s="420">
        <f>G26*H26</f>
        <v>0</v>
      </c>
      <c r="BK26" s="420"/>
      <c r="BL26" s="420">
        <v>11</v>
      </c>
    </row>
    <row r="27" spans="1:64" ht="15" customHeight="1">
      <c r="A27" s="423"/>
      <c r="D27" s="424" t="s">
        <v>1369</v>
      </c>
      <c r="E27" s="424" t="s">
        <v>654</v>
      </c>
      <c r="G27" s="425">
        <v>128</v>
      </c>
      <c r="N27" s="426"/>
    </row>
    <row r="28" spans="1:64" ht="15" customHeight="1">
      <c r="A28" s="423"/>
      <c r="D28" s="424" t="s">
        <v>1370</v>
      </c>
      <c r="E28" s="424" t="s">
        <v>654</v>
      </c>
      <c r="G28" s="425">
        <v>33</v>
      </c>
      <c r="N28" s="426"/>
    </row>
    <row r="29" spans="1:64" ht="15" customHeight="1">
      <c r="A29" s="423"/>
      <c r="D29" s="424" t="s">
        <v>1371</v>
      </c>
      <c r="E29" s="424" t="s">
        <v>654</v>
      </c>
      <c r="G29" s="425">
        <v>9</v>
      </c>
      <c r="N29" s="426"/>
    </row>
    <row r="30" spans="1:64" ht="15" customHeight="1">
      <c r="A30" s="423"/>
      <c r="D30" s="424" t="s">
        <v>1372</v>
      </c>
      <c r="E30" s="424" t="s">
        <v>654</v>
      </c>
      <c r="G30" s="425">
        <v>2</v>
      </c>
      <c r="N30" s="426"/>
    </row>
    <row r="31" spans="1:64" ht="15" customHeight="1">
      <c r="A31" s="423"/>
      <c r="D31" s="424" t="s">
        <v>677</v>
      </c>
      <c r="E31" s="424" t="s">
        <v>654</v>
      </c>
      <c r="G31" s="425">
        <v>0</v>
      </c>
      <c r="N31" s="426"/>
    </row>
    <row r="32" spans="1:64" ht="15" customHeight="1">
      <c r="A32" s="423"/>
      <c r="D32" s="424" t="s">
        <v>678</v>
      </c>
      <c r="E32" s="424" t="s">
        <v>654</v>
      </c>
      <c r="G32" s="425">
        <v>0</v>
      </c>
      <c r="N32" s="426"/>
    </row>
    <row r="33" spans="1:64" ht="15" customHeight="1">
      <c r="A33" s="423"/>
      <c r="D33" s="424" t="s">
        <v>1373</v>
      </c>
      <c r="E33" s="424" t="s">
        <v>654</v>
      </c>
      <c r="G33" s="425">
        <v>8.65</v>
      </c>
      <c r="N33" s="426"/>
    </row>
    <row r="34" spans="1:64" ht="15" customHeight="1">
      <c r="A34" s="423"/>
      <c r="D34" s="424" t="s">
        <v>1374</v>
      </c>
      <c r="E34" s="424" t="s">
        <v>654</v>
      </c>
      <c r="G34" s="425">
        <v>0</v>
      </c>
      <c r="N34" s="426"/>
    </row>
    <row r="35" spans="1:64" ht="15" customHeight="1">
      <c r="A35" s="423"/>
      <c r="D35" s="424" t="s">
        <v>679</v>
      </c>
      <c r="E35" s="424" t="s">
        <v>654</v>
      </c>
      <c r="G35" s="425">
        <v>0</v>
      </c>
      <c r="N35" s="426"/>
    </row>
    <row r="36" spans="1:64" ht="15" customHeight="1">
      <c r="A36" s="401" t="s">
        <v>682</v>
      </c>
      <c r="B36" s="402" t="s">
        <v>654</v>
      </c>
      <c r="C36" s="402" t="s">
        <v>1375</v>
      </c>
      <c r="D36" s="440" t="s">
        <v>1376</v>
      </c>
      <c r="E36" s="440"/>
      <c r="F36" s="402" t="s">
        <v>40</v>
      </c>
      <c r="G36" s="420">
        <v>879</v>
      </c>
      <c r="H36" s="420"/>
      <c r="I36" s="420">
        <f>G36*AO36</f>
        <v>0</v>
      </c>
      <c r="J36" s="420">
        <f>G36*AP36</f>
        <v>0</v>
      </c>
      <c r="K36" s="420">
        <f>G36*H36</f>
        <v>0</v>
      </c>
      <c r="L36" s="420">
        <v>0.90051000000000003</v>
      </c>
      <c r="M36" s="420">
        <f>G36*L36</f>
        <v>791.54829000000007</v>
      </c>
      <c r="N36" s="421" t="s">
        <v>1358</v>
      </c>
      <c r="Z36" s="420">
        <f>IF(AQ36="5",BJ36,0)</f>
        <v>0</v>
      </c>
      <c r="AB36" s="420">
        <f>IF(AQ36="1",BH36,0)</f>
        <v>0</v>
      </c>
      <c r="AC36" s="420">
        <f>IF(AQ36="1",BI36,0)</f>
        <v>0</v>
      </c>
      <c r="AD36" s="420">
        <f>IF(AQ36="7",BH36,0)</f>
        <v>0</v>
      </c>
      <c r="AE36" s="420">
        <f>IF(AQ36="7",BI36,0)</f>
        <v>0</v>
      </c>
      <c r="AF36" s="420">
        <f>IF(AQ36="2",BH36,0)</f>
        <v>0</v>
      </c>
      <c r="AG36" s="420">
        <f>IF(AQ36="2",BI36,0)</f>
        <v>0</v>
      </c>
      <c r="AH36" s="420">
        <f>IF(AQ36="0",BJ36,0)</f>
        <v>0</v>
      </c>
      <c r="AI36" s="408" t="s">
        <v>654</v>
      </c>
      <c r="AJ36" s="420">
        <f>IF(AN36=0,K36,0)</f>
        <v>0</v>
      </c>
      <c r="AK36" s="420">
        <f>IF(AN36=15,K36,0)</f>
        <v>0</v>
      </c>
      <c r="AL36" s="420">
        <f>IF(AN36=21,K36,0)</f>
        <v>0</v>
      </c>
      <c r="AN36" s="420">
        <v>21</v>
      </c>
      <c r="AO36" s="420">
        <f>H36*0.0219207592209834</f>
        <v>0</v>
      </c>
      <c r="AP36" s="420">
        <f>H36*(1-0.0219207592209834)</f>
        <v>0</v>
      </c>
      <c r="AQ36" s="422" t="s">
        <v>657</v>
      </c>
      <c r="AV36" s="420">
        <f>AW36+AX36</f>
        <v>0</v>
      </c>
      <c r="AW36" s="420">
        <f>G36*AO36</f>
        <v>0</v>
      </c>
      <c r="AX36" s="420">
        <f>G36*AP36</f>
        <v>0</v>
      </c>
      <c r="AY36" s="422" t="s">
        <v>669</v>
      </c>
      <c r="AZ36" s="422" t="s">
        <v>670</v>
      </c>
      <c r="BA36" s="408" t="s">
        <v>662</v>
      </c>
      <c r="BC36" s="420">
        <f>AW36+AX36</f>
        <v>0</v>
      </c>
      <c r="BD36" s="420">
        <f>H36/(100-BE36)*100</f>
        <v>0</v>
      </c>
      <c r="BE36" s="420">
        <v>0</v>
      </c>
      <c r="BF36" s="420">
        <f>M36</f>
        <v>791.54829000000007</v>
      </c>
      <c r="BH36" s="420">
        <f>G36*AO36</f>
        <v>0</v>
      </c>
      <c r="BI36" s="420">
        <f>G36*AP36</f>
        <v>0</v>
      </c>
      <c r="BJ36" s="420">
        <f>G36*H36</f>
        <v>0</v>
      </c>
      <c r="BK36" s="420"/>
      <c r="BL36" s="420">
        <v>11</v>
      </c>
    </row>
    <row r="37" spans="1:64" ht="15" customHeight="1">
      <c r="A37" s="423"/>
      <c r="D37" s="424" t="s">
        <v>1377</v>
      </c>
      <c r="E37" s="424" t="s">
        <v>654</v>
      </c>
      <c r="G37" s="425">
        <v>12.000000000000002</v>
      </c>
      <c r="N37" s="426"/>
    </row>
    <row r="38" spans="1:64" ht="15" customHeight="1">
      <c r="A38" s="423"/>
      <c r="D38" s="424" t="s">
        <v>677</v>
      </c>
      <c r="E38" s="424" t="s">
        <v>654</v>
      </c>
      <c r="G38" s="425">
        <v>0</v>
      </c>
      <c r="N38" s="426"/>
    </row>
    <row r="39" spans="1:64" ht="15" customHeight="1">
      <c r="A39" s="423"/>
      <c r="D39" s="424" t="s">
        <v>681</v>
      </c>
      <c r="E39" s="424" t="s">
        <v>654</v>
      </c>
      <c r="G39" s="425">
        <v>0</v>
      </c>
      <c r="N39" s="426"/>
    </row>
    <row r="40" spans="1:64" ht="15" customHeight="1">
      <c r="A40" s="423"/>
      <c r="D40" s="424" t="s">
        <v>1378</v>
      </c>
      <c r="E40" s="424" t="s">
        <v>654</v>
      </c>
      <c r="G40" s="425">
        <v>867.00000000000011</v>
      </c>
      <c r="N40" s="426"/>
    </row>
    <row r="41" spans="1:64" ht="15" customHeight="1">
      <c r="A41" s="423"/>
      <c r="D41" s="424" t="s">
        <v>1374</v>
      </c>
      <c r="E41" s="424" t="s">
        <v>654</v>
      </c>
      <c r="G41" s="425">
        <v>0</v>
      </c>
      <c r="N41" s="426"/>
    </row>
    <row r="42" spans="1:64" ht="15" customHeight="1">
      <c r="A42" s="423"/>
      <c r="D42" s="424" t="s">
        <v>679</v>
      </c>
      <c r="E42" s="424" t="s">
        <v>654</v>
      </c>
      <c r="G42" s="425">
        <v>0</v>
      </c>
      <c r="N42" s="426"/>
    </row>
    <row r="43" spans="1:64" ht="15" customHeight="1">
      <c r="A43" s="401" t="s">
        <v>686</v>
      </c>
      <c r="B43" s="402" t="s">
        <v>654</v>
      </c>
      <c r="C43" s="402" t="s">
        <v>683</v>
      </c>
      <c r="D43" s="440" t="s">
        <v>684</v>
      </c>
      <c r="E43" s="440"/>
      <c r="F43" s="402" t="s">
        <v>40</v>
      </c>
      <c r="G43" s="420">
        <v>5</v>
      </c>
      <c r="H43" s="420"/>
      <c r="I43" s="420">
        <f>G43*AO43</f>
        <v>0</v>
      </c>
      <c r="J43" s="420">
        <f>G43*AP43</f>
        <v>0</v>
      </c>
      <c r="K43" s="420">
        <f>G43*H43</f>
        <v>0</v>
      </c>
      <c r="L43" s="420">
        <v>0.11</v>
      </c>
      <c r="M43" s="420">
        <f>G43*L43</f>
        <v>0.55000000000000004</v>
      </c>
      <c r="N43" s="421" t="s">
        <v>1358</v>
      </c>
      <c r="Z43" s="420">
        <f>IF(AQ43="5",BJ43,0)</f>
        <v>0</v>
      </c>
      <c r="AB43" s="420">
        <f>IF(AQ43="1",BH43,0)</f>
        <v>0</v>
      </c>
      <c r="AC43" s="420">
        <f>IF(AQ43="1",BI43,0)</f>
        <v>0</v>
      </c>
      <c r="AD43" s="420">
        <f>IF(AQ43="7",BH43,0)</f>
        <v>0</v>
      </c>
      <c r="AE43" s="420">
        <f>IF(AQ43="7",BI43,0)</f>
        <v>0</v>
      </c>
      <c r="AF43" s="420">
        <f>IF(AQ43="2",BH43,0)</f>
        <v>0</v>
      </c>
      <c r="AG43" s="420">
        <f>IF(AQ43="2",BI43,0)</f>
        <v>0</v>
      </c>
      <c r="AH43" s="420">
        <f>IF(AQ43="0",BJ43,0)</f>
        <v>0</v>
      </c>
      <c r="AI43" s="408" t="s">
        <v>654</v>
      </c>
      <c r="AJ43" s="420">
        <f>IF(AN43=0,K43,0)</f>
        <v>0</v>
      </c>
      <c r="AK43" s="420">
        <f>IF(AN43=15,K43,0)</f>
        <v>0</v>
      </c>
      <c r="AL43" s="420">
        <f>IF(AN43=21,K43,0)</f>
        <v>0</v>
      </c>
      <c r="AN43" s="420">
        <v>21</v>
      </c>
      <c r="AO43" s="420">
        <f>H43*0</f>
        <v>0</v>
      </c>
      <c r="AP43" s="420">
        <f>H43*(1-0)</f>
        <v>0</v>
      </c>
      <c r="AQ43" s="422" t="s">
        <v>657</v>
      </c>
      <c r="AV43" s="420">
        <f>AW43+AX43</f>
        <v>0</v>
      </c>
      <c r="AW43" s="420">
        <f>G43*AO43</f>
        <v>0</v>
      </c>
      <c r="AX43" s="420">
        <f>G43*AP43</f>
        <v>0</v>
      </c>
      <c r="AY43" s="422" t="s">
        <v>669</v>
      </c>
      <c r="AZ43" s="422" t="s">
        <v>670</v>
      </c>
      <c r="BA43" s="408" t="s">
        <v>662</v>
      </c>
      <c r="BC43" s="420">
        <f>AW43+AX43</f>
        <v>0</v>
      </c>
      <c r="BD43" s="420">
        <f>H43/(100-BE43)*100</f>
        <v>0</v>
      </c>
      <c r="BE43" s="420">
        <v>0</v>
      </c>
      <c r="BF43" s="420">
        <f>M43</f>
        <v>0.55000000000000004</v>
      </c>
      <c r="BH43" s="420">
        <f>G43*AO43</f>
        <v>0</v>
      </c>
      <c r="BI43" s="420">
        <f>G43*AP43</f>
        <v>0</v>
      </c>
      <c r="BJ43" s="420">
        <f>G43*H43</f>
        <v>0</v>
      </c>
      <c r="BK43" s="420"/>
      <c r="BL43" s="420">
        <v>11</v>
      </c>
    </row>
    <row r="44" spans="1:64" ht="15" customHeight="1">
      <c r="A44" s="423"/>
      <c r="D44" s="424" t="s">
        <v>1379</v>
      </c>
      <c r="E44" s="424" t="s">
        <v>654</v>
      </c>
      <c r="G44" s="425">
        <v>5</v>
      </c>
      <c r="N44" s="426"/>
    </row>
    <row r="45" spans="1:64" ht="15" customHeight="1">
      <c r="A45" s="423"/>
      <c r="D45" s="424" t="s">
        <v>677</v>
      </c>
      <c r="E45" s="424" t="s">
        <v>654</v>
      </c>
      <c r="G45" s="425">
        <v>0</v>
      </c>
      <c r="N45" s="426"/>
    </row>
    <row r="46" spans="1:64" ht="15" customHeight="1">
      <c r="A46" s="401" t="s">
        <v>691</v>
      </c>
      <c r="B46" s="402" t="s">
        <v>654</v>
      </c>
      <c r="C46" s="402" t="s">
        <v>687</v>
      </c>
      <c r="D46" s="440" t="s">
        <v>688</v>
      </c>
      <c r="E46" s="440"/>
      <c r="F46" s="402" t="s">
        <v>40</v>
      </c>
      <c r="G46" s="420">
        <v>5</v>
      </c>
      <c r="H46" s="420"/>
      <c r="I46" s="420">
        <f>G46*AO46</f>
        <v>0</v>
      </c>
      <c r="J46" s="420">
        <f>G46*AP46</f>
        <v>0</v>
      </c>
      <c r="K46" s="420">
        <f>G46*H46</f>
        <v>0</v>
      </c>
      <c r="L46" s="420">
        <v>0.22</v>
      </c>
      <c r="M46" s="420">
        <f>G46*L46</f>
        <v>1.1000000000000001</v>
      </c>
      <c r="N46" s="421" t="s">
        <v>1358</v>
      </c>
      <c r="Z46" s="420">
        <f>IF(AQ46="5",BJ46,0)</f>
        <v>0</v>
      </c>
      <c r="AB46" s="420">
        <f>IF(AQ46="1",BH46,0)</f>
        <v>0</v>
      </c>
      <c r="AC46" s="420">
        <f>IF(AQ46="1",BI46,0)</f>
        <v>0</v>
      </c>
      <c r="AD46" s="420">
        <f>IF(AQ46="7",BH46,0)</f>
        <v>0</v>
      </c>
      <c r="AE46" s="420">
        <f>IF(AQ46="7",BI46,0)</f>
        <v>0</v>
      </c>
      <c r="AF46" s="420">
        <f>IF(AQ46="2",BH46,0)</f>
        <v>0</v>
      </c>
      <c r="AG46" s="420">
        <f>IF(AQ46="2",BI46,0)</f>
        <v>0</v>
      </c>
      <c r="AH46" s="420">
        <f>IF(AQ46="0",BJ46,0)</f>
        <v>0</v>
      </c>
      <c r="AI46" s="408" t="s">
        <v>654</v>
      </c>
      <c r="AJ46" s="420">
        <f>IF(AN46=0,K46,0)</f>
        <v>0</v>
      </c>
      <c r="AK46" s="420">
        <f>IF(AN46=15,K46,0)</f>
        <v>0</v>
      </c>
      <c r="AL46" s="420">
        <f>IF(AN46=21,K46,0)</f>
        <v>0</v>
      </c>
      <c r="AN46" s="420">
        <v>21</v>
      </c>
      <c r="AO46" s="420">
        <f>H46*0</f>
        <v>0</v>
      </c>
      <c r="AP46" s="420">
        <f>H46*(1-0)</f>
        <v>0</v>
      </c>
      <c r="AQ46" s="422" t="s">
        <v>657</v>
      </c>
      <c r="AV46" s="420">
        <f>AW46+AX46</f>
        <v>0</v>
      </c>
      <c r="AW46" s="420">
        <f>G46*AO46</f>
        <v>0</v>
      </c>
      <c r="AX46" s="420">
        <f>G46*AP46</f>
        <v>0</v>
      </c>
      <c r="AY46" s="422" t="s">
        <v>669</v>
      </c>
      <c r="AZ46" s="422" t="s">
        <v>670</v>
      </c>
      <c r="BA46" s="408" t="s">
        <v>662</v>
      </c>
      <c r="BC46" s="420">
        <f>AW46+AX46</f>
        <v>0</v>
      </c>
      <c r="BD46" s="420">
        <f>H46/(100-BE46)*100</f>
        <v>0</v>
      </c>
      <c r="BE46" s="420">
        <v>0</v>
      </c>
      <c r="BF46" s="420">
        <f>M46</f>
        <v>1.1000000000000001</v>
      </c>
      <c r="BH46" s="420">
        <f>G46*AO46</f>
        <v>0</v>
      </c>
      <c r="BI46" s="420">
        <f>G46*AP46</f>
        <v>0</v>
      </c>
      <c r="BJ46" s="420">
        <f>G46*H46</f>
        <v>0</v>
      </c>
      <c r="BK46" s="420"/>
      <c r="BL46" s="420">
        <v>11</v>
      </c>
    </row>
    <row r="47" spans="1:64" ht="15" customHeight="1">
      <c r="A47" s="423"/>
      <c r="D47" s="424" t="s">
        <v>1380</v>
      </c>
      <c r="E47" s="424" t="s">
        <v>654</v>
      </c>
      <c r="G47" s="425">
        <v>5</v>
      </c>
      <c r="N47" s="426"/>
    </row>
    <row r="48" spans="1:64" ht="15" customHeight="1">
      <c r="A48" s="416" t="s">
        <v>654</v>
      </c>
      <c r="B48" s="417" t="s">
        <v>654</v>
      </c>
      <c r="C48" s="417" t="s">
        <v>689</v>
      </c>
      <c r="D48" s="455" t="s">
        <v>690</v>
      </c>
      <c r="E48" s="455"/>
      <c r="F48" s="418" t="s">
        <v>608</v>
      </c>
      <c r="G48" s="418" t="s">
        <v>608</v>
      </c>
      <c r="H48" s="418"/>
      <c r="I48" s="400">
        <f>SUM(I49:I64)</f>
        <v>0</v>
      </c>
      <c r="J48" s="400">
        <f>SUM(J49:J64)</f>
        <v>0</v>
      </c>
      <c r="K48" s="400">
        <f>SUM(K49:K64)</f>
        <v>0</v>
      </c>
      <c r="L48" s="408" t="s">
        <v>654</v>
      </c>
      <c r="M48" s="400">
        <f>SUM(M49:M64)</f>
        <v>4.8220006025000002</v>
      </c>
      <c r="N48" s="419" t="s">
        <v>654</v>
      </c>
      <c r="AI48" s="408" t="s">
        <v>654</v>
      </c>
      <c r="AS48" s="400">
        <f>SUM(AJ49:AJ64)</f>
        <v>0</v>
      </c>
      <c r="AT48" s="400">
        <f>SUM(AK49:AK64)</f>
        <v>0</v>
      </c>
      <c r="AU48" s="400">
        <f>SUM(AL49:AL64)</f>
        <v>0</v>
      </c>
    </row>
    <row r="49" spans="1:64" ht="15" customHeight="1">
      <c r="A49" s="401" t="s">
        <v>697</v>
      </c>
      <c r="B49" s="402" t="s">
        <v>654</v>
      </c>
      <c r="C49" s="402" t="s">
        <v>692</v>
      </c>
      <c r="D49" s="440" t="s">
        <v>693</v>
      </c>
      <c r="E49" s="440"/>
      <c r="F49" s="402" t="s">
        <v>694</v>
      </c>
      <c r="G49" s="420">
        <v>16.649999999999999</v>
      </c>
      <c r="H49" s="420"/>
      <c r="I49" s="420">
        <f>G49*AO49</f>
        <v>0</v>
      </c>
      <c r="J49" s="420">
        <f>G49*AP49</f>
        <v>0</v>
      </c>
      <c r="K49" s="420">
        <f>G49*H49</f>
        <v>0</v>
      </c>
      <c r="L49" s="420">
        <v>0</v>
      </c>
      <c r="M49" s="420">
        <f>G49*L49</f>
        <v>0</v>
      </c>
      <c r="N49" s="421" t="s">
        <v>1358</v>
      </c>
      <c r="Z49" s="420">
        <f>IF(AQ49="5",BJ49,0)</f>
        <v>0</v>
      </c>
      <c r="AB49" s="420">
        <f>IF(AQ49="1",BH49,0)</f>
        <v>0</v>
      </c>
      <c r="AC49" s="420">
        <f>IF(AQ49="1",BI49,0)</f>
        <v>0</v>
      </c>
      <c r="AD49" s="420">
        <f>IF(AQ49="7",BH49,0)</f>
        <v>0</v>
      </c>
      <c r="AE49" s="420">
        <f>IF(AQ49="7",BI49,0)</f>
        <v>0</v>
      </c>
      <c r="AF49" s="420">
        <f>IF(AQ49="2",BH49,0)</f>
        <v>0</v>
      </c>
      <c r="AG49" s="420">
        <f>IF(AQ49="2",BI49,0)</f>
        <v>0</v>
      </c>
      <c r="AH49" s="420">
        <f>IF(AQ49="0",BJ49,0)</f>
        <v>0</v>
      </c>
      <c r="AI49" s="408" t="s">
        <v>654</v>
      </c>
      <c r="AJ49" s="420">
        <f>IF(AN49=0,K49,0)</f>
        <v>0</v>
      </c>
      <c r="AK49" s="420">
        <f>IF(AN49=15,K49,0)</f>
        <v>0</v>
      </c>
      <c r="AL49" s="420">
        <f>IF(AN49=21,K49,0)</f>
        <v>0</v>
      </c>
      <c r="AN49" s="420">
        <v>21</v>
      </c>
      <c r="AO49" s="420">
        <f>H49*0</f>
        <v>0</v>
      </c>
      <c r="AP49" s="420">
        <f>H49*(1-0)</f>
        <v>0</v>
      </c>
      <c r="AQ49" s="422" t="s">
        <v>657</v>
      </c>
      <c r="AV49" s="420">
        <f>AW49+AX49</f>
        <v>0</v>
      </c>
      <c r="AW49" s="420">
        <f>G49*AO49</f>
        <v>0</v>
      </c>
      <c r="AX49" s="420">
        <f>G49*AP49</f>
        <v>0</v>
      </c>
      <c r="AY49" s="422" t="s">
        <v>695</v>
      </c>
      <c r="AZ49" s="422" t="s">
        <v>670</v>
      </c>
      <c r="BA49" s="408" t="s">
        <v>662</v>
      </c>
      <c r="BC49" s="420">
        <f>AW49+AX49</f>
        <v>0</v>
      </c>
      <c r="BD49" s="420">
        <f>H49/(100-BE49)*100</f>
        <v>0</v>
      </c>
      <c r="BE49" s="420">
        <v>0</v>
      </c>
      <c r="BF49" s="420">
        <f>M49</f>
        <v>0</v>
      </c>
      <c r="BH49" s="420">
        <f>G49*AO49</f>
        <v>0</v>
      </c>
      <c r="BI49" s="420">
        <f>G49*AP49</f>
        <v>0</v>
      </c>
      <c r="BJ49" s="420">
        <f>G49*H49</f>
        <v>0</v>
      </c>
      <c r="BK49" s="420"/>
      <c r="BL49" s="420">
        <v>13</v>
      </c>
    </row>
    <row r="50" spans="1:64" ht="15" customHeight="1">
      <c r="A50" s="423"/>
      <c r="D50" s="424" t="s">
        <v>696</v>
      </c>
      <c r="E50" s="424" t="s">
        <v>654</v>
      </c>
      <c r="G50" s="425">
        <v>16.650000000000002</v>
      </c>
      <c r="N50" s="426"/>
    </row>
    <row r="51" spans="1:64" ht="15" customHeight="1">
      <c r="A51" s="401" t="s">
        <v>701</v>
      </c>
      <c r="B51" s="402" t="s">
        <v>654</v>
      </c>
      <c r="C51" s="402" t="s">
        <v>698</v>
      </c>
      <c r="D51" s="440" t="s">
        <v>699</v>
      </c>
      <c r="E51" s="440"/>
      <c r="F51" s="402" t="s">
        <v>694</v>
      </c>
      <c r="G51" s="420">
        <v>3.33</v>
      </c>
      <c r="H51" s="420"/>
      <c r="I51" s="420">
        <f>G51*AO51</f>
        <v>0</v>
      </c>
      <c r="J51" s="420">
        <f>G51*AP51</f>
        <v>0</v>
      </c>
      <c r="K51" s="420">
        <f>G51*H51</f>
        <v>0</v>
      </c>
      <c r="L51" s="420">
        <v>0</v>
      </c>
      <c r="M51" s="420">
        <f>G51*L51</f>
        <v>0</v>
      </c>
      <c r="N51" s="421" t="s">
        <v>1358</v>
      </c>
      <c r="Z51" s="420">
        <f>IF(AQ51="5",BJ51,0)</f>
        <v>0</v>
      </c>
      <c r="AB51" s="420">
        <f>IF(AQ51="1",BH51,0)</f>
        <v>0</v>
      </c>
      <c r="AC51" s="420">
        <f>IF(AQ51="1",BI51,0)</f>
        <v>0</v>
      </c>
      <c r="AD51" s="420">
        <f>IF(AQ51="7",BH51,0)</f>
        <v>0</v>
      </c>
      <c r="AE51" s="420">
        <f>IF(AQ51="7",BI51,0)</f>
        <v>0</v>
      </c>
      <c r="AF51" s="420">
        <f>IF(AQ51="2",BH51,0)</f>
        <v>0</v>
      </c>
      <c r="AG51" s="420">
        <f>IF(AQ51="2",BI51,0)</f>
        <v>0</v>
      </c>
      <c r="AH51" s="420">
        <f>IF(AQ51="0",BJ51,0)</f>
        <v>0</v>
      </c>
      <c r="AI51" s="408" t="s">
        <v>654</v>
      </c>
      <c r="AJ51" s="420">
        <f>IF(AN51=0,K51,0)</f>
        <v>0</v>
      </c>
      <c r="AK51" s="420">
        <f>IF(AN51=15,K51,0)</f>
        <v>0</v>
      </c>
      <c r="AL51" s="420">
        <f>IF(AN51=21,K51,0)</f>
        <v>0</v>
      </c>
      <c r="AN51" s="420">
        <v>21</v>
      </c>
      <c r="AO51" s="420">
        <f>H51*0</f>
        <v>0</v>
      </c>
      <c r="AP51" s="420">
        <f>H51*(1-0)</f>
        <v>0</v>
      </c>
      <c r="AQ51" s="422" t="s">
        <v>657</v>
      </c>
      <c r="AV51" s="420">
        <f>AW51+AX51</f>
        <v>0</v>
      </c>
      <c r="AW51" s="420">
        <f>G51*AO51</f>
        <v>0</v>
      </c>
      <c r="AX51" s="420">
        <f>G51*AP51</f>
        <v>0</v>
      </c>
      <c r="AY51" s="422" t="s">
        <v>695</v>
      </c>
      <c r="AZ51" s="422" t="s">
        <v>670</v>
      </c>
      <c r="BA51" s="408" t="s">
        <v>662</v>
      </c>
      <c r="BC51" s="420">
        <f>AW51+AX51</f>
        <v>0</v>
      </c>
      <c r="BD51" s="420">
        <f>H51/(100-BE51)*100</f>
        <v>0</v>
      </c>
      <c r="BE51" s="420">
        <v>0</v>
      </c>
      <c r="BF51" s="420">
        <f>M51</f>
        <v>0</v>
      </c>
      <c r="BH51" s="420">
        <f>G51*AO51</f>
        <v>0</v>
      </c>
      <c r="BI51" s="420">
        <f>G51*AP51</f>
        <v>0</v>
      </c>
      <c r="BJ51" s="420">
        <f>G51*H51</f>
        <v>0</v>
      </c>
      <c r="BK51" s="420"/>
      <c r="BL51" s="420">
        <v>13</v>
      </c>
    </row>
    <row r="52" spans="1:64" ht="15" customHeight="1">
      <c r="A52" s="423"/>
      <c r="D52" s="424" t="s">
        <v>700</v>
      </c>
      <c r="E52" s="424" t="s">
        <v>654</v>
      </c>
      <c r="G52" s="425">
        <v>3.33</v>
      </c>
      <c r="N52" s="426"/>
    </row>
    <row r="53" spans="1:64" ht="15" customHeight="1">
      <c r="A53" s="401" t="s">
        <v>664</v>
      </c>
      <c r="B53" s="402" t="s">
        <v>654</v>
      </c>
      <c r="C53" s="402" t="s">
        <v>702</v>
      </c>
      <c r="D53" s="440" t="s">
        <v>703</v>
      </c>
      <c r="E53" s="440"/>
      <c r="F53" s="402" t="s">
        <v>694</v>
      </c>
      <c r="G53" s="420">
        <v>2051.9151499999998</v>
      </c>
      <c r="H53" s="420"/>
      <c r="I53" s="420">
        <f>G53*AO53</f>
        <v>0</v>
      </c>
      <c r="J53" s="420">
        <f>G53*AP53</f>
        <v>0</v>
      </c>
      <c r="K53" s="420">
        <f>G53*H53</f>
        <v>0</v>
      </c>
      <c r="L53" s="420">
        <v>2.3500000000000001E-3</v>
      </c>
      <c r="M53" s="420">
        <f>G53*L53</f>
        <v>4.8220006025000002</v>
      </c>
      <c r="N53" s="421" t="s">
        <v>1358</v>
      </c>
      <c r="Z53" s="420">
        <f>IF(AQ53="5",BJ53,0)</f>
        <v>0</v>
      </c>
      <c r="AB53" s="420">
        <f>IF(AQ53="1",BH53,0)</f>
        <v>0</v>
      </c>
      <c r="AC53" s="420">
        <f>IF(AQ53="1",BI53,0)</f>
        <v>0</v>
      </c>
      <c r="AD53" s="420">
        <f>IF(AQ53="7",BH53,0)</f>
        <v>0</v>
      </c>
      <c r="AE53" s="420">
        <f>IF(AQ53="7",BI53,0)</f>
        <v>0</v>
      </c>
      <c r="AF53" s="420">
        <f>IF(AQ53="2",BH53,0)</f>
        <v>0</v>
      </c>
      <c r="AG53" s="420">
        <f>IF(AQ53="2",BI53,0)</f>
        <v>0</v>
      </c>
      <c r="AH53" s="420">
        <f>IF(AQ53="0",BJ53,0)</f>
        <v>0</v>
      </c>
      <c r="AI53" s="408" t="s">
        <v>654</v>
      </c>
      <c r="AJ53" s="420">
        <f>IF(AN53=0,K53,0)</f>
        <v>0</v>
      </c>
      <c r="AK53" s="420">
        <f>IF(AN53=15,K53,0)</f>
        <v>0</v>
      </c>
      <c r="AL53" s="420">
        <f>IF(AN53=21,K53,0)</f>
        <v>0</v>
      </c>
      <c r="AN53" s="420">
        <v>21</v>
      </c>
      <c r="AO53" s="420">
        <f>H53*0.0438492063039791</f>
        <v>0</v>
      </c>
      <c r="AP53" s="420">
        <f>H53*(1-0.0438492063039791)</f>
        <v>0</v>
      </c>
      <c r="AQ53" s="422" t="s">
        <v>657</v>
      </c>
      <c r="AV53" s="420">
        <f>AW53+AX53</f>
        <v>0</v>
      </c>
      <c r="AW53" s="420">
        <f>G53*AO53</f>
        <v>0</v>
      </c>
      <c r="AX53" s="420">
        <f>G53*AP53</f>
        <v>0</v>
      </c>
      <c r="AY53" s="422" t="s">
        <v>695</v>
      </c>
      <c r="AZ53" s="422" t="s">
        <v>670</v>
      </c>
      <c r="BA53" s="408" t="s">
        <v>662</v>
      </c>
      <c r="BC53" s="420">
        <f>AW53+AX53</f>
        <v>0</v>
      </c>
      <c r="BD53" s="420">
        <f>H53/(100-BE53)*100</f>
        <v>0</v>
      </c>
      <c r="BE53" s="420">
        <v>0</v>
      </c>
      <c r="BF53" s="420">
        <f>M53</f>
        <v>4.8220006025000002</v>
      </c>
      <c r="BH53" s="420">
        <f>G53*AO53</f>
        <v>0</v>
      </c>
      <c r="BI53" s="420">
        <f>G53*AP53</f>
        <v>0</v>
      </c>
      <c r="BJ53" s="420">
        <f>G53*H53</f>
        <v>0</v>
      </c>
      <c r="BK53" s="420"/>
      <c r="BL53" s="420">
        <v>13</v>
      </c>
    </row>
    <row r="54" spans="1:64" ht="15" customHeight="1">
      <c r="A54" s="423"/>
      <c r="D54" s="424" t="s">
        <v>704</v>
      </c>
      <c r="E54" s="424" t="s">
        <v>654</v>
      </c>
      <c r="G54" s="425">
        <v>378.74</v>
      </c>
      <c r="N54" s="426"/>
    </row>
    <row r="55" spans="1:64" ht="15" customHeight="1">
      <c r="A55" s="423"/>
      <c r="D55" s="424" t="s">
        <v>1381</v>
      </c>
      <c r="E55" s="424" t="s">
        <v>654</v>
      </c>
      <c r="G55" s="425">
        <v>47.85</v>
      </c>
      <c r="N55" s="426"/>
    </row>
    <row r="56" spans="1:64" ht="15" customHeight="1">
      <c r="A56" s="423"/>
      <c r="D56" s="424" t="s">
        <v>1382</v>
      </c>
      <c r="E56" s="424" t="s">
        <v>654</v>
      </c>
      <c r="G56" s="425">
        <v>105.7775</v>
      </c>
      <c r="N56" s="426"/>
    </row>
    <row r="57" spans="1:64" ht="15" customHeight="1">
      <c r="A57" s="423"/>
      <c r="D57" s="424" t="s">
        <v>677</v>
      </c>
      <c r="E57" s="424" t="s">
        <v>654</v>
      </c>
      <c r="G57" s="425">
        <v>0</v>
      </c>
      <c r="N57" s="426"/>
    </row>
    <row r="58" spans="1:64" ht="15" customHeight="1">
      <c r="A58" s="423"/>
      <c r="D58" s="424" t="s">
        <v>1383</v>
      </c>
      <c r="E58" s="424" t="s">
        <v>654</v>
      </c>
      <c r="G58" s="425">
        <v>81.725620000000006</v>
      </c>
      <c r="N58" s="426"/>
    </row>
    <row r="59" spans="1:64" ht="15" customHeight="1">
      <c r="A59" s="423"/>
      <c r="D59" s="424" t="s">
        <v>685</v>
      </c>
      <c r="E59" s="424" t="s">
        <v>654</v>
      </c>
      <c r="G59" s="425">
        <v>0</v>
      </c>
      <c r="N59" s="426"/>
    </row>
    <row r="60" spans="1:64" ht="15" customHeight="1">
      <c r="A60" s="423"/>
      <c r="D60" s="424" t="s">
        <v>1384</v>
      </c>
      <c r="E60" s="424" t="s">
        <v>654</v>
      </c>
      <c r="G60" s="425">
        <v>1437.82203</v>
      </c>
      <c r="N60" s="426"/>
    </row>
    <row r="61" spans="1:64" ht="15" customHeight="1">
      <c r="A61" s="423"/>
      <c r="D61" s="424" t="s">
        <v>679</v>
      </c>
      <c r="E61" s="424" t="s">
        <v>654</v>
      </c>
      <c r="G61" s="425">
        <v>0</v>
      </c>
      <c r="N61" s="426"/>
    </row>
    <row r="62" spans="1:64" ht="15" customHeight="1">
      <c r="A62" s="401" t="s">
        <v>708</v>
      </c>
      <c r="B62" s="402" t="s">
        <v>654</v>
      </c>
      <c r="C62" s="402" t="s">
        <v>706</v>
      </c>
      <c r="D62" s="440" t="s">
        <v>707</v>
      </c>
      <c r="E62" s="440"/>
      <c r="F62" s="402" t="s">
        <v>694</v>
      </c>
      <c r="G62" s="420">
        <v>410.38303000000002</v>
      </c>
      <c r="H62" s="420"/>
      <c r="I62" s="420">
        <f>G62*AO62</f>
        <v>0</v>
      </c>
      <c r="J62" s="420">
        <f>G62*AP62</f>
        <v>0</v>
      </c>
      <c r="K62" s="420">
        <f>G62*H62</f>
        <v>0</v>
      </c>
      <c r="L62" s="420">
        <v>0</v>
      </c>
      <c r="M62" s="420">
        <f>G62*L62</f>
        <v>0</v>
      </c>
      <c r="N62" s="421" t="s">
        <v>1358</v>
      </c>
      <c r="Z62" s="420">
        <f>IF(AQ62="5",BJ62,0)</f>
        <v>0</v>
      </c>
      <c r="AB62" s="420">
        <f>IF(AQ62="1",BH62,0)</f>
        <v>0</v>
      </c>
      <c r="AC62" s="420">
        <f>IF(AQ62="1",BI62,0)</f>
        <v>0</v>
      </c>
      <c r="AD62" s="420">
        <f>IF(AQ62="7",BH62,0)</f>
        <v>0</v>
      </c>
      <c r="AE62" s="420">
        <f>IF(AQ62="7",BI62,0)</f>
        <v>0</v>
      </c>
      <c r="AF62" s="420">
        <f>IF(AQ62="2",BH62,0)</f>
        <v>0</v>
      </c>
      <c r="AG62" s="420">
        <f>IF(AQ62="2",BI62,0)</f>
        <v>0</v>
      </c>
      <c r="AH62" s="420">
        <f>IF(AQ62="0",BJ62,0)</f>
        <v>0</v>
      </c>
      <c r="AI62" s="408" t="s">
        <v>654</v>
      </c>
      <c r="AJ62" s="420">
        <f>IF(AN62=0,K62,0)</f>
        <v>0</v>
      </c>
      <c r="AK62" s="420">
        <f>IF(AN62=15,K62,0)</f>
        <v>0</v>
      </c>
      <c r="AL62" s="420">
        <f>IF(AN62=21,K62,0)</f>
        <v>0</v>
      </c>
      <c r="AN62" s="420">
        <v>21</v>
      </c>
      <c r="AO62" s="420">
        <f>H62*0</f>
        <v>0</v>
      </c>
      <c r="AP62" s="420">
        <f>H62*(1-0)</f>
        <v>0</v>
      </c>
      <c r="AQ62" s="422" t="s">
        <v>657</v>
      </c>
      <c r="AV62" s="420">
        <f>AW62+AX62</f>
        <v>0</v>
      </c>
      <c r="AW62" s="420">
        <f>G62*AO62</f>
        <v>0</v>
      </c>
      <c r="AX62" s="420">
        <f>G62*AP62</f>
        <v>0</v>
      </c>
      <c r="AY62" s="422" t="s">
        <v>695</v>
      </c>
      <c r="AZ62" s="422" t="s">
        <v>670</v>
      </c>
      <c r="BA62" s="408" t="s">
        <v>662</v>
      </c>
      <c r="BC62" s="420">
        <f>AW62+AX62</f>
        <v>0</v>
      </c>
      <c r="BD62" s="420">
        <f>H62/(100-BE62)*100</f>
        <v>0</v>
      </c>
      <c r="BE62" s="420">
        <v>0</v>
      </c>
      <c r="BF62" s="420">
        <f>M62</f>
        <v>0</v>
      </c>
      <c r="BH62" s="420">
        <f>G62*AO62</f>
        <v>0</v>
      </c>
      <c r="BI62" s="420">
        <f>G62*AP62</f>
        <v>0</v>
      </c>
      <c r="BJ62" s="420">
        <f>G62*H62</f>
        <v>0</v>
      </c>
      <c r="BK62" s="420"/>
      <c r="BL62" s="420">
        <v>13</v>
      </c>
    </row>
    <row r="63" spans="1:64" ht="15" customHeight="1">
      <c r="A63" s="423"/>
      <c r="D63" s="424" t="s">
        <v>1385</v>
      </c>
      <c r="E63" s="424" t="s">
        <v>654</v>
      </c>
      <c r="G63" s="425">
        <v>410.38303000000002</v>
      </c>
      <c r="N63" s="426"/>
    </row>
    <row r="64" spans="1:64" ht="15" customHeight="1">
      <c r="A64" s="401" t="s">
        <v>689</v>
      </c>
      <c r="B64" s="402" t="s">
        <v>654</v>
      </c>
      <c r="C64" s="402" t="s">
        <v>709</v>
      </c>
      <c r="D64" s="440" t="s">
        <v>710</v>
      </c>
      <c r="E64" s="440"/>
      <c r="F64" s="402" t="s">
        <v>7</v>
      </c>
      <c r="G64" s="420">
        <v>982.08</v>
      </c>
      <c r="H64" s="420"/>
      <c r="I64" s="420">
        <f>G64*AO64</f>
        <v>0</v>
      </c>
      <c r="J64" s="420">
        <f>G64*AP64</f>
        <v>0</v>
      </c>
      <c r="K64" s="420">
        <f>G64*H64</f>
        <v>0</v>
      </c>
      <c r="L64" s="420">
        <v>0</v>
      </c>
      <c r="M64" s="420">
        <f>G64*L64</f>
        <v>0</v>
      </c>
      <c r="N64" s="421" t="s">
        <v>1358</v>
      </c>
      <c r="Z64" s="420">
        <f>IF(AQ64="5",BJ64,0)</f>
        <v>0</v>
      </c>
      <c r="AB64" s="420">
        <f>IF(AQ64="1",BH64,0)</f>
        <v>0</v>
      </c>
      <c r="AC64" s="420">
        <f>IF(AQ64="1",BI64,0)</f>
        <v>0</v>
      </c>
      <c r="AD64" s="420">
        <f>IF(AQ64="7",BH64,0)</f>
        <v>0</v>
      </c>
      <c r="AE64" s="420">
        <f>IF(AQ64="7",BI64,0)</f>
        <v>0</v>
      </c>
      <c r="AF64" s="420">
        <f>IF(AQ64="2",BH64,0)</f>
        <v>0</v>
      </c>
      <c r="AG64" s="420">
        <f>IF(AQ64="2",BI64,0)</f>
        <v>0</v>
      </c>
      <c r="AH64" s="420">
        <f>IF(AQ64="0",BJ64,0)</f>
        <v>0</v>
      </c>
      <c r="AI64" s="408" t="s">
        <v>654</v>
      </c>
      <c r="AJ64" s="420">
        <f>IF(AN64=0,K64,0)</f>
        <v>0</v>
      </c>
      <c r="AK64" s="420">
        <f>IF(AN64=15,K64,0)</f>
        <v>0</v>
      </c>
      <c r="AL64" s="420">
        <f>IF(AN64=21,K64,0)</f>
        <v>0</v>
      </c>
      <c r="AN64" s="420">
        <v>21</v>
      </c>
      <c r="AO64" s="420">
        <f>H64*0</f>
        <v>0</v>
      </c>
      <c r="AP64" s="420">
        <f>H64*(1-0)</f>
        <v>0</v>
      </c>
      <c r="AQ64" s="422" t="s">
        <v>657</v>
      </c>
      <c r="AV64" s="420">
        <f>AW64+AX64</f>
        <v>0</v>
      </c>
      <c r="AW64" s="420">
        <f>G64*AO64</f>
        <v>0</v>
      </c>
      <c r="AX64" s="420">
        <f>G64*AP64</f>
        <v>0</v>
      </c>
      <c r="AY64" s="422" t="s">
        <v>695</v>
      </c>
      <c r="AZ64" s="422" t="s">
        <v>670</v>
      </c>
      <c r="BA64" s="408" t="s">
        <v>662</v>
      </c>
      <c r="BC64" s="420">
        <f>AW64+AX64</f>
        <v>0</v>
      </c>
      <c r="BD64" s="420">
        <f>H64/(100-BE64)*100</f>
        <v>0</v>
      </c>
      <c r="BE64" s="420">
        <v>0</v>
      </c>
      <c r="BF64" s="420">
        <f>M64</f>
        <v>0</v>
      </c>
      <c r="BH64" s="420">
        <f>G64*AO64</f>
        <v>0</v>
      </c>
      <c r="BI64" s="420">
        <f>G64*AP64</f>
        <v>0</v>
      </c>
      <c r="BJ64" s="420">
        <f>G64*H64</f>
        <v>0</v>
      </c>
      <c r="BK64" s="420"/>
      <c r="BL64" s="420">
        <v>13</v>
      </c>
    </row>
    <row r="65" spans="1:64" ht="15" customHeight="1">
      <c r="A65" s="423"/>
      <c r="D65" s="424" t="s">
        <v>711</v>
      </c>
      <c r="E65" s="424" t="s">
        <v>654</v>
      </c>
      <c r="G65" s="425">
        <v>261.20000000000005</v>
      </c>
      <c r="N65" s="426"/>
    </row>
    <row r="66" spans="1:64" ht="15" customHeight="1">
      <c r="A66" s="423"/>
      <c r="D66" s="424" t="s">
        <v>1386</v>
      </c>
      <c r="E66" s="424" t="s">
        <v>654</v>
      </c>
      <c r="G66" s="425">
        <v>33</v>
      </c>
      <c r="N66" s="426"/>
    </row>
    <row r="67" spans="1:64" ht="15" customHeight="1">
      <c r="A67" s="423"/>
      <c r="D67" s="424" t="s">
        <v>1387</v>
      </c>
      <c r="E67" s="424" t="s">
        <v>654</v>
      </c>
      <c r="G67" s="425">
        <v>72.95</v>
      </c>
      <c r="N67" s="426"/>
    </row>
    <row r="68" spans="1:64" ht="15" customHeight="1">
      <c r="A68" s="423"/>
      <c r="D68" s="424" t="s">
        <v>1388</v>
      </c>
      <c r="E68" s="424" t="s">
        <v>654</v>
      </c>
      <c r="G68" s="425">
        <v>41.75</v>
      </c>
      <c r="N68" s="426"/>
    </row>
    <row r="69" spans="1:64" ht="15" customHeight="1">
      <c r="A69" s="423"/>
      <c r="D69" s="424" t="s">
        <v>1389</v>
      </c>
      <c r="E69" s="424" t="s">
        <v>654</v>
      </c>
      <c r="G69" s="425">
        <v>573.18000000000006</v>
      </c>
      <c r="N69" s="426"/>
    </row>
    <row r="70" spans="1:64" ht="15" customHeight="1">
      <c r="A70" s="416" t="s">
        <v>654</v>
      </c>
      <c r="B70" s="417" t="s">
        <v>654</v>
      </c>
      <c r="C70" s="417" t="s">
        <v>712</v>
      </c>
      <c r="D70" s="455" t="s">
        <v>713</v>
      </c>
      <c r="E70" s="455"/>
      <c r="F70" s="418" t="s">
        <v>608</v>
      </c>
      <c r="G70" s="418" t="s">
        <v>608</v>
      </c>
      <c r="H70" s="418"/>
      <c r="I70" s="400">
        <f>SUM(I71:I86)</f>
        <v>0</v>
      </c>
      <c r="J70" s="400">
        <f>SUM(J71:J86)</f>
        <v>0</v>
      </c>
      <c r="K70" s="400">
        <f>SUM(K71:K86)</f>
        <v>0</v>
      </c>
      <c r="L70" s="408" t="s">
        <v>654</v>
      </c>
      <c r="M70" s="400">
        <f>SUM(M71:M86)</f>
        <v>2.81955168</v>
      </c>
      <c r="N70" s="419" t="s">
        <v>654</v>
      </c>
      <c r="AI70" s="408" t="s">
        <v>654</v>
      </c>
      <c r="AS70" s="400">
        <f>SUM(AJ71:AJ86)</f>
        <v>0</v>
      </c>
      <c r="AT70" s="400">
        <f>SUM(AK71:AK86)</f>
        <v>0</v>
      </c>
      <c r="AU70" s="400">
        <f>SUM(AL71:AL86)</f>
        <v>0</v>
      </c>
    </row>
    <row r="71" spans="1:64" ht="15" customHeight="1">
      <c r="A71" s="401" t="s">
        <v>717</v>
      </c>
      <c r="B71" s="402" t="s">
        <v>654</v>
      </c>
      <c r="C71" s="402" t="s">
        <v>714</v>
      </c>
      <c r="D71" s="440" t="s">
        <v>715</v>
      </c>
      <c r="E71" s="440"/>
      <c r="F71" s="402" t="s">
        <v>14</v>
      </c>
      <c r="G71" s="420">
        <v>1</v>
      </c>
      <c r="H71" s="420"/>
      <c r="I71" s="420">
        <f>G71*AO71</f>
        <v>0</v>
      </c>
      <c r="J71" s="420">
        <f>G71*AP71</f>
        <v>0</v>
      </c>
      <c r="K71" s="420">
        <f>G71*H71</f>
        <v>0</v>
      </c>
      <c r="L71" s="420">
        <v>0</v>
      </c>
      <c r="M71" s="420">
        <f>G71*L71</f>
        <v>0</v>
      </c>
      <c r="N71" s="421" t="s">
        <v>1358</v>
      </c>
      <c r="Z71" s="420">
        <f>IF(AQ71="5",BJ71,0)</f>
        <v>0</v>
      </c>
      <c r="AB71" s="420">
        <f>IF(AQ71="1",BH71,0)</f>
        <v>0</v>
      </c>
      <c r="AC71" s="420">
        <f>IF(AQ71="1",BI71,0)</f>
        <v>0</v>
      </c>
      <c r="AD71" s="420">
        <f>IF(AQ71="7",BH71,0)</f>
        <v>0</v>
      </c>
      <c r="AE71" s="420">
        <f>IF(AQ71="7",BI71,0)</f>
        <v>0</v>
      </c>
      <c r="AF71" s="420">
        <f>IF(AQ71="2",BH71,0)</f>
        <v>0</v>
      </c>
      <c r="AG71" s="420">
        <f>IF(AQ71="2",BI71,0)</f>
        <v>0</v>
      </c>
      <c r="AH71" s="420">
        <f>IF(AQ71="0",BJ71,0)</f>
        <v>0</v>
      </c>
      <c r="AI71" s="408" t="s">
        <v>654</v>
      </c>
      <c r="AJ71" s="420">
        <f>IF(AN71=0,K71,0)</f>
        <v>0</v>
      </c>
      <c r="AK71" s="420">
        <f>IF(AN71=15,K71,0)</f>
        <v>0</v>
      </c>
      <c r="AL71" s="420">
        <f>IF(AN71=21,K71,0)</f>
        <v>0</v>
      </c>
      <c r="AN71" s="420">
        <v>21</v>
      </c>
      <c r="AO71" s="420">
        <f>H71*0</f>
        <v>0</v>
      </c>
      <c r="AP71" s="420">
        <f>H71*(1-0)</f>
        <v>0</v>
      </c>
      <c r="AQ71" s="422" t="s">
        <v>657</v>
      </c>
      <c r="AV71" s="420">
        <f>AW71+AX71</f>
        <v>0</v>
      </c>
      <c r="AW71" s="420">
        <f>G71*AO71</f>
        <v>0</v>
      </c>
      <c r="AX71" s="420">
        <f>G71*AP71</f>
        <v>0</v>
      </c>
      <c r="AY71" s="422" t="s">
        <v>716</v>
      </c>
      <c r="AZ71" s="422" t="s">
        <v>670</v>
      </c>
      <c r="BA71" s="408" t="s">
        <v>662</v>
      </c>
      <c r="BC71" s="420">
        <f>AW71+AX71</f>
        <v>0</v>
      </c>
      <c r="BD71" s="420">
        <f>H71/(100-BE71)*100</f>
        <v>0</v>
      </c>
      <c r="BE71" s="420">
        <v>0</v>
      </c>
      <c r="BF71" s="420">
        <f>M71</f>
        <v>0</v>
      </c>
      <c r="BH71" s="420">
        <f>G71*AO71</f>
        <v>0</v>
      </c>
      <c r="BI71" s="420">
        <f>G71*AP71</f>
        <v>0</v>
      </c>
      <c r="BJ71" s="420">
        <f>G71*H71</f>
        <v>0</v>
      </c>
      <c r="BK71" s="420"/>
      <c r="BL71" s="420">
        <v>15</v>
      </c>
    </row>
    <row r="72" spans="1:64" ht="15" customHeight="1">
      <c r="A72" s="423"/>
      <c r="D72" s="424" t="s">
        <v>657</v>
      </c>
      <c r="E72" s="424" t="s">
        <v>654</v>
      </c>
      <c r="G72" s="425">
        <v>1</v>
      </c>
      <c r="N72" s="426"/>
    </row>
    <row r="73" spans="1:64" ht="15" customHeight="1">
      <c r="A73" s="401" t="s">
        <v>712</v>
      </c>
      <c r="B73" s="402" t="s">
        <v>654</v>
      </c>
      <c r="C73" s="402" t="s">
        <v>718</v>
      </c>
      <c r="D73" s="440" t="s">
        <v>719</v>
      </c>
      <c r="E73" s="440"/>
      <c r="F73" s="402" t="s">
        <v>14</v>
      </c>
      <c r="G73" s="420">
        <v>1</v>
      </c>
      <c r="H73" s="420"/>
      <c r="I73" s="420">
        <f>G73*AO73</f>
        <v>0</v>
      </c>
      <c r="J73" s="420">
        <f>G73*AP73</f>
        <v>0</v>
      </c>
      <c r="K73" s="420">
        <f>G73*H73</f>
        <v>0</v>
      </c>
      <c r="L73" s="420">
        <v>0</v>
      </c>
      <c r="M73" s="420">
        <f>G73*L73</f>
        <v>0</v>
      </c>
      <c r="N73" s="421" t="s">
        <v>1358</v>
      </c>
      <c r="Z73" s="420">
        <f>IF(AQ73="5",BJ73,0)</f>
        <v>0</v>
      </c>
      <c r="AB73" s="420">
        <f>IF(AQ73="1",BH73,0)</f>
        <v>0</v>
      </c>
      <c r="AC73" s="420">
        <f>IF(AQ73="1",BI73,0)</f>
        <v>0</v>
      </c>
      <c r="AD73" s="420">
        <f>IF(AQ73="7",BH73,0)</f>
        <v>0</v>
      </c>
      <c r="AE73" s="420">
        <f>IF(AQ73="7",BI73,0)</f>
        <v>0</v>
      </c>
      <c r="AF73" s="420">
        <f>IF(AQ73="2",BH73,0)</f>
        <v>0</v>
      </c>
      <c r="AG73" s="420">
        <f>IF(AQ73="2",BI73,0)</f>
        <v>0</v>
      </c>
      <c r="AH73" s="420">
        <f>IF(AQ73="0",BJ73,0)</f>
        <v>0</v>
      </c>
      <c r="AI73" s="408" t="s">
        <v>654</v>
      </c>
      <c r="AJ73" s="420">
        <f>IF(AN73=0,K73,0)</f>
        <v>0</v>
      </c>
      <c r="AK73" s="420">
        <f>IF(AN73=15,K73,0)</f>
        <v>0</v>
      </c>
      <c r="AL73" s="420">
        <f>IF(AN73=21,K73,0)</f>
        <v>0</v>
      </c>
      <c r="AN73" s="420">
        <v>21</v>
      </c>
      <c r="AO73" s="420">
        <f>H73*0</f>
        <v>0</v>
      </c>
      <c r="AP73" s="420">
        <f>H73*(1-0)</f>
        <v>0</v>
      </c>
      <c r="AQ73" s="422" t="s">
        <v>657</v>
      </c>
      <c r="AV73" s="420">
        <f>AW73+AX73</f>
        <v>0</v>
      </c>
      <c r="AW73" s="420">
        <f>G73*AO73</f>
        <v>0</v>
      </c>
      <c r="AX73" s="420">
        <f>G73*AP73</f>
        <v>0</v>
      </c>
      <c r="AY73" s="422" t="s">
        <v>716</v>
      </c>
      <c r="AZ73" s="422" t="s">
        <v>670</v>
      </c>
      <c r="BA73" s="408" t="s">
        <v>662</v>
      </c>
      <c r="BC73" s="420">
        <f>AW73+AX73</f>
        <v>0</v>
      </c>
      <c r="BD73" s="420">
        <f>H73/(100-BE73)*100</f>
        <v>0</v>
      </c>
      <c r="BE73" s="420">
        <v>0</v>
      </c>
      <c r="BF73" s="420">
        <f>M73</f>
        <v>0</v>
      </c>
      <c r="BH73" s="420">
        <f>G73*AO73</f>
        <v>0</v>
      </c>
      <c r="BI73" s="420">
        <f>G73*AP73</f>
        <v>0</v>
      </c>
      <c r="BJ73" s="420">
        <f>G73*H73</f>
        <v>0</v>
      </c>
      <c r="BK73" s="420"/>
      <c r="BL73" s="420">
        <v>15</v>
      </c>
    </row>
    <row r="74" spans="1:64" ht="15" customHeight="1">
      <c r="A74" s="423"/>
      <c r="D74" s="424" t="s">
        <v>657</v>
      </c>
      <c r="E74" s="424" t="s">
        <v>654</v>
      </c>
      <c r="G74" s="425">
        <v>1</v>
      </c>
      <c r="N74" s="426"/>
    </row>
    <row r="75" spans="1:64" ht="15" customHeight="1">
      <c r="A75" s="401" t="s">
        <v>723</v>
      </c>
      <c r="B75" s="402" t="s">
        <v>654</v>
      </c>
      <c r="C75" s="402" t="s">
        <v>720</v>
      </c>
      <c r="D75" s="440" t="s">
        <v>721</v>
      </c>
      <c r="E75" s="440"/>
      <c r="F75" s="402" t="s">
        <v>722</v>
      </c>
      <c r="G75" s="420">
        <v>14</v>
      </c>
      <c r="H75" s="420"/>
      <c r="I75" s="420">
        <f>G75*AO75</f>
        <v>0</v>
      </c>
      <c r="J75" s="420">
        <f>G75*AP75</f>
        <v>0</v>
      </c>
      <c r="K75" s="420">
        <f>G75*H75</f>
        <v>0</v>
      </c>
      <c r="L75" s="420">
        <v>0</v>
      </c>
      <c r="M75" s="420">
        <f>G75*L75</f>
        <v>0</v>
      </c>
      <c r="N75" s="421" t="s">
        <v>1358</v>
      </c>
      <c r="Z75" s="420">
        <f>IF(AQ75="5",BJ75,0)</f>
        <v>0</v>
      </c>
      <c r="AB75" s="420">
        <f>IF(AQ75="1",BH75,0)</f>
        <v>0</v>
      </c>
      <c r="AC75" s="420">
        <f>IF(AQ75="1",BI75,0)</f>
        <v>0</v>
      </c>
      <c r="AD75" s="420">
        <f>IF(AQ75="7",BH75,0)</f>
        <v>0</v>
      </c>
      <c r="AE75" s="420">
        <f>IF(AQ75="7",BI75,0)</f>
        <v>0</v>
      </c>
      <c r="AF75" s="420">
        <f>IF(AQ75="2",BH75,0)</f>
        <v>0</v>
      </c>
      <c r="AG75" s="420">
        <f>IF(AQ75="2",BI75,0)</f>
        <v>0</v>
      </c>
      <c r="AH75" s="420">
        <f>IF(AQ75="0",BJ75,0)</f>
        <v>0</v>
      </c>
      <c r="AI75" s="408" t="s">
        <v>654</v>
      </c>
      <c r="AJ75" s="420">
        <f>IF(AN75=0,K75,0)</f>
        <v>0</v>
      </c>
      <c r="AK75" s="420">
        <f>IF(AN75=15,K75,0)</f>
        <v>0</v>
      </c>
      <c r="AL75" s="420">
        <f>IF(AN75=21,K75,0)</f>
        <v>0</v>
      </c>
      <c r="AN75" s="420">
        <v>21</v>
      </c>
      <c r="AO75" s="420">
        <f>H75*0</f>
        <v>0</v>
      </c>
      <c r="AP75" s="420">
        <f>H75*(1-0)</f>
        <v>0</v>
      </c>
      <c r="AQ75" s="422" t="s">
        <v>657</v>
      </c>
      <c r="AV75" s="420">
        <f>AW75+AX75</f>
        <v>0</v>
      </c>
      <c r="AW75" s="420">
        <f>G75*AO75</f>
        <v>0</v>
      </c>
      <c r="AX75" s="420">
        <f>G75*AP75</f>
        <v>0</v>
      </c>
      <c r="AY75" s="422" t="s">
        <v>716</v>
      </c>
      <c r="AZ75" s="422" t="s">
        <v>670</v>
      </c>
      <c r="BA75" s="408" t="s">
        <v>662</v>
      </c>
      <c r="BC75" s="420">
        <f>AW75+AX75</f>
        <v>0</v>
      </c>
      <c r="BD75" s="420">
        <f>H75/(100-BE75)*100</f>
        <v>0</v>
      </c>
      <c r="BE75" s="420">
        <v>0</v>
      </c>
      <c r="BF75" s="420">
        <f>M75</f>
        <v>0</v>
      </c>
      <c r="BH75" s="420">
        <f>G75*AO75</f>
        <v>0</v>
      </c>
      <c r="BI75" s="420">
        <f>G75*AP75</f>
        <v>0</v>
      </c>
      <c r="BJ75" s="420">
        <f>G75*H75</f>
        <v>0</v>
      </c>
      <c r="BK75" s="420"/>
      <c r="BL75" s="420">
        <v>15</v>
      </c>
    </row>
    <row r="76" spans="1:64" ht="15" customHeight="1">
      <c r="A76" s="423"/>
      <c r="D76" s="424" t="s">
        <v>717</v>
      </c>
      <c r="E76" s="424" t="s">
        <v>654</v>
      </c>
      <c r="G76" s="425">
        <v>14.000000000000002</v>
      </c>
      <c r="N76" s="426"/>
    </row>
    <row r="77" spans="1:64" ht="15" customHeight="1">
      <c r="A77" s="401" t="s">
        <v>727</v>
      </c>
      <c r="B77" s="402" t="s">
        <v>654</v>
      </c>
      <c r="C77" s="402" t="s">
        <v>724</v>
      </c>
      <c r="D77" s="440" t="s">
        <v>725</v>
      </c>
      <c r="E77" s="440"/>
      <c r="F77" s="402" t="s">
        <v>40</v>
      </c>
      <c r="G77" s="420">
        <v>2848.0320000000002</v>
      </c>
      <c r="H77" s="420"/>
      <c r="I77" s="420">
        <f>G77*AO77</f>
        <v>0</v>
      </c>
      <c r="J77" s="420">
        <f>G77*AP77</f>
        <v>0</v>
      </c>
      <c r="K77" s="420">
        <f>G77*H77</f>
        <v>0</v>
      </c>
      <c r="L77" s="420">
        <v>9.8999999999999999E-4</v>
      </c>
      <c r="M77" s="420">
        <f>G77*L77</f>
        <v>2.81955168</v>
      </c>
      <c r="N77" s="421" t="s">
        <v>1358</v>
      </c>
      <c r="Z77" s="420">
        <f>IF(AQ77="5",BJ77,0)</f>
        <v>0</v>
      </c>
      <c r="AB77" s="420">
        <f>IF(AQ77="1",BH77,0)</f>
        <v>0</v>
      </c>
      <c r="AC77" s="420">
        <f>IF(AQ77="1",BI77,0)</f>
        <v>0</v>
      </c>
      <c r="AD77" s="420">
        <f>IF(AQ77="7",BH77,0)</f>
        <v>0</v>
      </c>
      <c r="AE77" s="420">
        <f>IF(AQ77="7",BI77,0)</f>
        <v>0</v>
      </c>
      <c r="AF77" s="420">
        <f>IF(AQ77="2",BH77,0)</f>
        <v>0</v>
      </c>
      <c r="AG77" s="420">
        <f>IF(AQ77="2",BI77,0)</f>
        <v>0</v>
      </c>
      <c r="AH77" s="420">
        <f>IF(AQ77="0",BJ77,0)</f>
        <v>0</v>
      </c>
      <c r="AI77" s="408" t="s">
        <v>654</v>
      </c>
      <c r="AJ77" s="420">
        <f>IF(AN77=0,K77,0)</f>
        <v>0</v>
      </c>
      <c r="AK77" s="420">
        <f>IF(AN77=15,K77,0)</f>
        <v>0</v>
      </c>
      <c r="AL77" s="420">
        <f>IF(AN77=21,K77,0)</f>
        <v>0</v>
      </c>
      <c r="AN77" s="420">
        <v>21</v>
      </c>
      <c r="AO77" s="420">
        <f>H77*0.0932214760707129</f>
        <v>0</v>
      </c>
      <c r="AP77" s="420">
        <f>H77*(1-0.0932214760707129)</f>
        <v>0</v>
      </c>
      <c r="AQ77" s="422" t="s">
        <v>657</v>
      </c>
      <c r="AV77" s="420">
        <f>AW77+AX77</f>
        <v>0</v>
      </c>
      <c r="AW77" s="420">
        <f>G77*AO77</f>
        <v>0</v>
      </c>
      <c r="AX77" s="420">
        <f>G77*AP77</f>
        <v>0</v>
      </c>
      <c r="AY77" s="422" t="s">
        <v>716</v>
      </c>
      <c r="AZ77" s="422" t="s">
        <v>670</v>
      </c>
      <c r="BA77" s="408" t="s">
        <v>662</v>
      </c>
      <c r="BC77" s="420">
        <f>AW77+AX77</f>
        <v>0</v>
      </c>
      <c r="BD77" s="420">
        <f>H77/(100-BE77)*100</f>
        <v>0</v>
      </c>
      <c r="BE77" s="420">
        <v>0</v>
      </c>
      <c r="BF77" s="420">
        <f>M77</f>
        <v>2.81955168</v>
      </c>
      <c r="BH77" s="420">
        <f>G77*AO77</f>
        <v>0</v>
      </c>
      <c r="BI77" s="420">
        <f>G77*AP77</f>
        <v>0</v>
      </c>
      <c r="BJ77" s="420">
        <f>G77*H77</f>
        <v>0</v>
      </c>
      <c r="BK77" s="420"/>
      <c r="BL77" s="420">
        <v>15</v>
      </c>
    </row>
    <row r="78" spans="1:64" ht="15" customHeight="1">
      <c r="A78" s="423"/>
      <c r="D78" s="424" t="s">
        <v>726</v>
      </c>
      <c r="E78" s="424" t="s">
        <v>654</v>
      </c>
      <c r="G78" s="425">
        <v>757.48</v>
      </c>
      <c r="N78" s="426"/>
    </row>
    <row r="79" spans="1:64" ht="15" customHeight="1">
      <c r="A79" s="423"/>
      <c r="D79" s="424" t="s">
        <v>1390</v>
      </c>
      <c r="E79" s="424" t="s">
        <v>654</v>
      </c>
      <c r="G79" s="425">
        <v>95.7</v>
      </c>
      <c r="N79" s="426"/>
    </row>
    <row r="80" spans="1:64" ht="15" customHeight="1">
      <c r="A80" s="423"/>
      <c r="D80" s="424" t="s">
        <v>1391</v>
      </c>
      <c r="E80" s="424" t="s">
        <v>654</v>
      </c>
      <c r="G80" s="425">
        <v>211.55500000000001</v>
      </c>
      <c r="N80" s="426"/>
    </row>
    <row r="81" spans="1:64" ht="15" customHeight="1">
      <c r="A81" s="423"/>
      <c r="D81" s="424" t="s">
        <v>677</v>
      </c>
      <c r="E81" s="424" t="s">
        <v>654</v>
      </c>
      <c r="G81" s="425">
        <v>0</v>
      </c>
      <c r="N81" s="426"/>
    </row>
    <row r="82" spans="1:64" ht="15" customHeight="1">
      <c r="A82" s="423"/>
      <c r="D82" s="424" t="s">
        <v>1392</v>
      </c>
      <c r="E82" s="424" t="s">
        <v>654</v>
      </c>
      <c r="G82" s="425">
        <v>121.075</v>
      </c>
      <c r="N82" s="426"/>
    </row>
    <row r="83" spans="1:64" ht="15" customHeight="1">
      <c r="A83" s="423"/>
      <c r="D83" s="424" t="s">
        <v>685</v>
      </c>
      <c r="E83" s="424" t="s">
        <v>654</v>
      </c>
      <c r="G83" s="425">
        <v>0</v>
      </c>
      <c r="N83" s="426"/>
    </row>
    <row r="84" spans="1:64" ht="15" customHeight="1">
      <c r="A84" s="423"/>
      <c r="D84" s="424" t="s">
        <v>1393</v>
      </c>
      <c r="E84" s="424" t="s">
        <v>654</v>
      </c>
      <c r="G84" s="425">
        <v>1662.2220000000002</v>
      </c>
      <c r="N84" s="426"/>
    </row>
    <row r="85" spans="1:64" ht="15" customHeight="1">
      <c r="A85" s="423"/>
      <c r="D85" s="424" t="s">
        <v>679</v>
      </c>
      <c r="E85" s="424" t="s">
        <v>654</v>
      </c>
      <c r="G85" s="425">
        <v>0</v>
      </c>
      <c r="N85" s="426"/>
    </row>
    <row r="86" spans="1:64" ht="15" customHeight="1">
      <c r="A86" s="401" t="s">
        <v>731</v>
      </c>
      <c r="B86" s="402" t="s">
        <v>654</v>
      </c>
      <c r="C86" s="402" t="s">
        <v>728</v>
      </c>
      <c r="D86" s="440" t="s">
        <v>729</v>
      </c>
      <c r="E86" s="440"/>
      <c r="F86" s="402" t="s">
        <v>40</v>
      </c>
      <c r="G86" s="420">
        <v>2848.0320000000002</v>
      </c>
      <c r="H86" s="420"/>
      <c r="I86" s="420">
        <f>G86*AO86</f>
        <v>0</v>
      </c>
      <c r="J86" s="420">
        <f>G86*AP86</f>
        <v>0</v>
      </c>
      <c r="K86" s="420">
        <f>G86*H86</f>
        <v>0</v>
      </c>
      <c r="L86" s="420">
        <v>0</v>
      </c>
      <c r="M86" s="420">
        <f>G86*L86</f>
        <v>0</v>
      </c>
      <c r="N86" s="421" t="s">
        <v>1358</v>
      </c>
      <c r="Z86" s="420">
        <f>IF(AQ86="5",BJ86,0)</f>
        <v>0</v>
      </c>
      <c r="AB86" s="420">
        <f>IF(AQ86="1",BH86,0)</f>
        <v>0</v>
      </c>
      <c r="AC86" s="420">
        <f>IF(AQ86="1",BI86,0)</f>
        <v>0</v>
      </c>
      <c r="AD86" s="420">
        <f>IF(AQ86="7",BH86,0)</f>
        <v>0</v>
      </c>
      <c r="AE86" s="420">
        <f>IF(AQ86="7",BI86,0)</f>
        <v>0</v>
      </c>
      <c r="AF86" s="420">
        <f>IF(AQ86="2",BH86,0)</f>
        <v>0</v>
      </c>
      <c r="AG86" s="420">
        <f>IF(AQ86="2",BI86,0)</f>
        <v>0</v>
      </c>
      <c r="AH86" s="420">
        <f>IF(AQ86="0",BJ86,0)</f>
        <v>0</v>
      </c>
      <c r="AI86" s="408" t="s">
        <v>654</v>
      </c>
      <c r="AJ86" s="420">
        <f>IF(AN86=0,K86,0)</f>
        <v>0</v>
      </c>
      <c r="AK86" s="420">
        <f>IF(AN86=15,K86,0)</f>
        <v>0</v>
      </c>
      <c r="AL86" s="420">
        <f>IF(AN86=21,K86,0)</f>
        <v>0</v>
      </c>
      <c r="AN86" s="420">
        <v>21</v>
      </c>
      <c r="AO86" s="420">
        <f>H86*0</f>
        <v>0</v>
      </c>
      <c r="AP86" s="420">
        <f>H86*(1-0)</f>
        <v>0</v>
      </c>
      <c r="AQ86" s="422" t="s">
        <v>657</v>
      </c>
      <c r="AV86" s="420">
        <f>AW86+AX86</f>
        <v>0</v>
      </c>
      <c r="AW86" s="420">
        <f>G86*AO86</f>
        <v>0</v>
      </c>
      <c r="AX86" s="420">
        <f>G86*AP86</f>
        <v>0</v>
      </c>
      <c r="AY86" s="422" t="s">
        <v>716</v>
      </c>
      <c r="AZ86" s="422" t="s">
        <v>670</v>
      </c>
      <c r="BA86" s="408" t="s">
        <v>662</v>
      </c>
      <c r="BC86" s="420">
        <f>AW86+AX86</f>
        <v>0</v>
      </c>
      <c r="BD86" s="420">
        <f>H86/(100-BE86)*100</f>
        <v>0</v>
      </c>
      <c r="BE86" s="420">
        <v>0</v>
      </c>
      <c r="BF86" s="420">
        <f>M86</f>
        <v>0</v>
      </c>
      <c r="BH86" s="420">
        <f>G86*AO86</f>
        <v>0</v>
      </c>
      <c r="BI86" s="420">
        <f>G86*AP86</f>
        <v>0</v>
      </c>
      <c r="BJ86" s="420">
        <f>G86*H86</f>
        <v>0</v>
      </c>
      <c r="BK86" s="420"/>
      <c r="BL86" s="420">
        <v>15</v>
      </c>
    </row>
    <row r="87" spans="1:64" ht="15" customHeight="1">
      <c r="A87" s="423"/>
      <c r="D87" s="424" t="s">
        <v>1394</v>
      </c>
      <c r="E87" s="424" t="s">
        <v>654</v>
      </c>
      <c r="G87" s="425">
        <v>2848.0320000000002</v>
      </c>
      <c r="N87" s="426"/>
    </row>
    <row r="88" spans="1:64" ht="15" customHeight="1">
      <c r="A88" s="416" t="s">
        <v>654</v>
      </c>
      <c r="B88" s="417" t="s">
        <v>654</v>
      </c>
      <c r="C88" s="417" t="s">
        <v>723</v>
      </c>
      <c r="D88" s="455" t="s">
        <v>730</v>
      </c>
      <c r="E88" s="455"/>
      <c r="F88" s="418" t="s">
        <v>608</v>
      </c>
      <c r="G88" s="418" t="s">
        <v>608</v>
      </c>
      <c r="H88" s="418"/>
      <c r="I88" s="400">
        <f>SUM(I89:I110)</f>
        <v>0</v>
      </c>
      <c r="J88" s="400">
        <f>SUM(J89:J110)</f>
        <v>0</v>
      </c>
      <c r="K88" s="400">
        <f>SUM(K89:K110)</f>
        <v>0</v>
      </c>
      <c r="L88" s="408" t="s">
        <v>654</v>
      </c>
      <c r="M88" s="400">
        <f>SUM(M89:M110)</f>
        <v>0</v>
      </c>
      <c r="N88" s="419" t="s">
        <v>654</v>
      </c>
      <c r="AI88" s="408" t="s">
        <v>654</v>
      </c>
      <c r="AS88" s="400">
        <f>SUM(AJ89:AJ110)</f>
        <v>0</v>
      </c>
      <c r="AT88" s="400">
        <f>SUM(AK89:AK110)</f>
        <v>0</v>
      </c>
      <c r="AU88" s="400">
        <f>SUM(AL89:AL110)</f>
        <v>0</v>
      </c>
    </row>
    <row r="89" spans="1:64" ht="15" customHeight="1">
      <c r="A89" s="401" t="s">
        <v>736</v>
      </c>
      <c r="B89" s="402" t="s">
        <v>654</v>
      </c>
      <c r="C89" s="402" t="s">
        <v>732</v>
      </c>
      <c r="D89" s="440" t="s">
        <v>733</v>
      </c>
      <c r="E89" s="440"/>
      <c r="F89" s="402" t="s">
        <v>694</v>
      </c>
      <c r="G89" s="420">
        <v>16.649999999999999</v>
      </c>
      <c r="H89" s="420"/>
      <c r="I89" s="420">
        <f>G89*AO89</f>
        <v>0</v>
      </c>
      <c r="J89" s="420">
        <f>G89*AP89</f>
        <v>0</v>
      </c>
      <c r="K89" s="420">
        <f>G89*H89</f>
        <v>0</v>
      </c>
      <c r="L89" s="420">
        <v>0</v>
      </c>
      <c r="M89" s="420">
        <f>G89*L89</f>
        <v>0</v>
      </c>
      <c r="N89" s="421" t="s">
        <v>1358</v>
      </c>
      <c r="Z89" s="420">
        <f>IF(AQ89="5",BJ89,0)</f>
        <v>0</v>
      </c>
      <c r="AB89" s="420">
        <f>IF(AQ89="1",BH89,0)</f>
        <v>0</v>
      </c>
      <c r="AC89" s="420">
        <f>IF(AQ89="1",BI89,0)</f>
        <v>0</v>
      </c>
      <c r="AD89" s="420">
        <f>IF(AQ89="7",BH89,0)</f>
        <v>0</v>
      </c>
      <c r="AE89" s="420">
        <f>IF(AQ89="7",BI89,0)</f>
        <v>0</v>
      </c>
      <c r="AF89" s="420">
        <f>IF(AQ89="2",BH89,0)</f>
        <v>0</v>
      </c>
      <c r="AG89" s="420">
        <f>IF(AQ89="2",BI89,0)</f>
        <v>0</v>
      </c>
      <c r="AH89" s="420">
        <f>IF(AQ89="0",BJ89,0)</f>
        <v>0</v>
      </c>
      <c r="AI89" s="408" t="s">
        <v>654</v>
      </c>
      <c r="AJ89" s="420">
        <f>IF(AN89=0,K89,0)</f>
        <v>0</v>
      </c>
      <c r="AK89" s="420">
        <f>IF(AN89=15,K89,0)</f>
        <v>0</v>
      </c>
      <c r="AL89" s="420">
        <f>IF(AN89=21,K89,0)</f>
        <v>0</v>
      </c>
      <c r="AN89" s="420">
        <v>21</v>
      </c>
      <c r="AO89" s="420">
        <f>H89*0</f>
        <v>0</v>
      </c>
      <c r="AP89" s="420">
        <f>H89*(1-0)</f>
        <v>0</v>
      </c>
      <c r="AQ89" s="422" t="s">
        <v>657</v>
      </c>
      <c r="AV89" s="420">
        <f>AW89+AX89</f>
        <v>0</v>
      </c>
      <c r="AW89" s="420">
        <f>G89*AO89</f>
        <v>0</v>
      </c>
      <c r="AX89" s="420">
        <f>G89*AP89</f>
        <v>0</v>
      </c>
      <c r="AY89" s="422" t="s">
        <v>734</v>
      </c>
      <c r="AZ89" s="422" t="s">
        <v>670</v>
      </c>
      <c r="BA89" s="408" t="s">
        <v>662</v>
      </c>
      <c r="BC89" s="420">
        <f>AW89+AX89</f>
        <v>0</v>
      </c>
      <c r="BD89" s="420">
        <f>H89/(100-BE89)*100</f>
        <v>0</v>
      </c>
      <c r="BE89" s="420">
        <v>0</v>
      </c>
      <c r="BF89" s="420">
        <f>M89</f>
        <v>0</v>
      </c>
      <c r="BH89" s="420">
        <f>G89*AO89</f>
        <v>0</v>
      </c>
      <c r="BI89" s="420">
        <f>G89*AP89</f>
        <v>0</v>
      </c>
      <c r="BJ89" s="420">
        <f>G89*H89</f>
        <v>0</v>
      </c>
      <c r="BK89" s="420"/>
      <c r="BL89" s="420">
        <v>16</v>
      </c>
    </row>
    <row r="90" spans="1:64" ht="15" customHeight="1">
      <c r="A90" s="423"/>
      <c r="D90" s="424" t="s">
        <v>735</v>
      </c>
      <c r="E90" s="424" t="s">
        <v>654</v>
      </c>
      <c r="G90" s="425">
        <v>16.650000000000002</v>
      </c>
      <c r="N90" s="426"/>
    </row>
    <row r="91" spans="1:64" ht="15" customHeight="1">
      <c r="A91" s="401" t="s">
        <v>739</v>
      </c>
      <c r="B91" s="402" t="s">
        <v>654</v>
      </c>
      <c r="C91" s="402" t="s">
        <v>737</v>
      </c>
      <c r="D91" s="440" t="s">
        <v>738</v>
      </c>
      <c r="E91" s="440"/>
      <c r="F91" s="402" t="s">
        <v>694</v>
      </c>
      <c r="G91" s="420">
        <v>2140.3023499999999</v>
      </c>
      <c r="H91" s="420"/>
      <c r="I91" s="420">
        <f>G91*AO91</f>
        <v>0</v>
      </c>
      <c r="J91" s="420">
        <f>G91*AP91</f>
        <v>0</v>
      </c>
      <c r="K91" s="420">
        <f>G91*H91</f>
        <v>0</v>
      </c>
      <c r="L91" s="420">
        <v>0</v>
      </c>
      <c r="M91" s="420">
        <f>G91*L91</f>
        <v>0</v>
      </c>
      <c r="N91" s="421" t="s">
        <v>1358</v>
      </c>
      <c r="Z91" s="420">
        <f>IF(AQ91="5",BJ91,0)</f>
        <v>0</v>
      </c>
      <c r="AB91" s="420">
        <f>IF(AQ91="1",BH91,0)</f>
        <v>0</v>
      </c>
      <c r="AC91" s="420">
        <f>IF(AQ91="1",BI91,0)</f>
        <v>0</v>
      </c>
      <c r="AD91" s="420">
        <f>IF(AQ91="7",BH91,0)</f>
        <v>0</v>
      </c>
      <c r="AE91" s="420">
        <f>IF(AQ91="7",BI91,0)</f>
        <v>0</v>
      </c>
      <c r="AF91" s="420">
        <f>IF(AQ91="2",BH91,0)</f>
        <v>0</v>
      </c>
      <c r="AG91" s="420">
        <f>IF(AQ91="2",BI91,0)</f>
        <v>0</v>
      </c>
      <c r="AH91" s="420">
        <f>IF(AQ91="0",BJ91,0)</f>
        <v>0</v>
      </c>
      <c r="AI91" s="408" t="s">
        <v>654</v>
      </c>
      <c r="AJ91" s="420">
        <f>IF(AN91=0,K91,0)</f>
        <v>0</v>
      </c>
      <c r="AK91" s="420">
        <f>IF(AN91=15,K91,0)</f>
        <v>0</v>
      </c>
      <c r="AL91" s="420">
        <f>IF(AN91=21,K91,0)</f>
        <v>0</v>
      </c>
      <c r="AN91" s="420">
        <v>21</v>
      </c>
      <c r="AO91" s="420">
        <f>H91*0</f>
        <v>0</v>
      </c>
      <c r="AP91" s="420">
        <f>H91*(1-0)</f>
        <v>0</v>
      </c>
      <c r="AQ91" s="422" t="s">
        <v>657</v>
      </c>
      <c r="AV91" s="420">
        <f>AW91+AX91</f>
        <v>0</v>
      </c>
      <c r="AW91" s="420">
        <f>G91*AO91</f>
        <v>0</v>
      </c>
      <c r="AX91" s="420">
        <f>G91*AP91</f>
        <v>0</v>
      </c>
      <c r="AY91" s="422" t="s">
        <v>734</v>
      </c>
      <c r="AZ91" s="422" t="s">
        <v>670</v>
      </c>
      <c r="BA91" s="408" t="s">
        <v>662</v>
      </c>
      <c r="BC91" s="420">
        <f>AW91+AX91</f>
        <v>0</v>
      </c>
      <c r="BD91" s="420">
        <f>H91/(100-BE91)*100</f>
        <v>0</v>
      </c>
      <c r="BE91" s="420">
        <v>0</v>
      </c>
      <c r="BF91" s="420">
        <f>M91</f>
        <v>0</v>
      </c>
      <c r="BH91" s="420">
        <f>G91*AO91</f>
        <v>0</v>
      </c>
      <c r="BI91" s="420">
        <f>G91*AP91</f>
        <v>0</v>
      </c>
      <c r="BJ91" s="420">
        <f>G91*H91</f>
        <v>0</v>
      </c>
      <c r="BK91" s="420"/>
      <c r="BL91" s="420">
        <v>16</v>
      </c>
    </row>
    <row r="92" spans="1:64" ht="15" customHeight="1">
      <c r="A92" s="423"/>
      <c r="D92" s="424" t="s">
        <v>1395</v>
      </c>
      <c r="E92" s="424" t="s">
        <v>654</v>
      </c>
      <c r="G92" s="425">
        <v>2051.9151500000003</v>
      </c>
      <c r="N92" s="426"/>
    </row>
    <row r="93" spans="1:64" ht="15" customHeight="1">
      <c r="A93" s="423"/>
      <c r="D93" s="424" t="s">
        <v>1396</v>
      </c>
      <c r="E93" s="424" t="s">
        <v>654</v>
      </c>
      <c r="G93" s="425">
        <v>88.387200000000007</v>
      </c>
      <c r="N93" s="426"/>
    </row>
    <row r="94" spans="1:64" ht="15" customHeight="1">
      <c r="A94" s="401" t="s">
        <v>743</v>
      </c>
      <c r="B94" s="402" t="s">
        <v>654</v>
      </c>
      <c r="C94" s="402" t="s">
        <v>740</v>
      </c>
      <c r="D94" s="440" t="s">
        <v>741</v>
      </c>
      <c r="E94" s="440"/>
      <c r="F94" s="402" t="s">
        <v>694</v>
      </c>
      <c r="G94" s="420">
        <v>1103.6828</v>
      </c>
      <c r="H94" s="420"/>
      <c r="I94" s="420">
        <f>G94*AO94</f>
        <v>0</v>
      </c>
      <c r="J94" s="420">
        <f>G94*AP94</f>
        <v>0</v>
      </c>
      <c r="K94" s="420">
        <f>G94*H94</f>
        <v>0</v>
      </c>
      <c r="L94" s="420">
        <v>0</v>
      </c>
      <c r="M94" s="420">
        <f>G94*L94</f>
        <v>0</v>
      </c>
      <c r="N94" s="421" t="s">
        <v>1358</v>
      </c>
      <c r="Z94" s="420">
        <f>IF(AQ94="5",BJ94,0)</f>
        <v>0</v>
      </c>
      <c r="AB94" s="420">
        <f>IF(AQ94="1",BH94,0)</f>
        <v>0</v>
      </c>
      <c r="AC94" s="420">
        <f>IF(AQ94="1",BI94,0)</f>
        <v>0</v>
      </c>
      <c r="AD94" s="420">
        <f>IF(AQ94="7",BH94,0)</f>
        <v>0</v>
      </c>
      <c r="AE94" s="420">
        <f>IF(AQ94="7",BI94,0)</f>
        <v>0</v>
      </c>
      <c r="AF94" s="420">
        <f>IF(AQ94="2",BH94,0)</f>
        <v>0</v>
      </c>
      <c r="AG94" s="420">
        <f>IF(AQ94="2",BI94,0)</f>
        <v>0</v>
      </c>
      <c r="AH94" s="420">
        <f>IF(AQ94="0",BJ94,0)</f>
        <v>0</v>
      </c>
      <c r="AI94" s="408" t="s">
        <v>654</v>
      </c>
      <c r="AJ94" s="420">
        <f>IF(AN94=0,K94,0)</f>
        <v>0</v>
      </c>
      <c r="AK94" s="420">
        <f>IF(AN94=15,K94,0)</f>
        <v>0</v>
      </c>
      <c r="AL94" s="420">
        <f>IF(AN94=21,K94,0)</f>
        <v>0</v>
      </c>
      <c r="AN94" s="420">
        <v>21</v>
      </c>
      <c r="AO94" s="420">
        <f>H94*0</f>
        <v>0</v>
      </c>
      <c r="AP94" s="420">
        <f>H94*(1-0)</f>
        <v>0</v>
      </c>
      <c r="AQ94" s="422" t="s">
        <v>657</v>
      </c>
      <c r="AV94" s="420">
        <f>AW94+AX94</f>
        <v>0</v>
      </c>
      <c r="AW94" s="420">
        <f>G94*AO94</f>
        <v>0</v>
      </c>
      <c r="AX94" s="420">
        <f>G94*AP94</f>
        <v>0</v>
      </c>
      <c r="AY94" s="422" t="s">
        <v>734</v>
      </c>
      <c r="AZ94" s="422" t="s">
        <v>670</v>
      </c>
      <c r="BA94" s="408" t="s">
        <v>662</v>
      </c>
      <c r="BC94" s="420">
        <f>AW94+AX94</f>
        <v>0</v>
      </c>
      <c r="BD94" s="420">
        <f>H94/(100-BE94)*100</f>
        <v>0</v>
      </c>
      <c r="BE94" s="420">
        <v>0</v>
      </c>
      <c r="BF94" s="420">
        <f>M94</f>
        <v>0</v>
      </c>
      <c r="BH94" s="420">
        <f>G94*AO94</f>
        <v>0</v>
      </c>
      <c r="BI94" s="420">
        <f>G94*AP94</f>
        <v>0</v>
      </c>
      <c r="BJ94" s="420">
        <f>G94*H94</f>
        <v>0</v>
      </c>
      <c r="BK94" s="420"/>
      <c r="BL94" s="420">
        <v>16</v>
      </c>
    </row>
    <row r="95" spans="1:64" ht="15" customHeight="1">
      <c r="A95" s="423"/>
      <c r="D95" s="424" t="s">
        <v>742</v>
      </c>
      <c r="E95" s="424" t="s">
        <v>654</v>
      </c>
      <c r="G95" s="425">
        <v>14.892750000000001</v>
      </c>
      <c r="N95" s="426"/>
    </row>
    <row r="96" spans="1:64" ht="15" customHeight="1">
      <c r="A96" s="423"/>
      <c r="D96" s="424" t="s">
        <v>1397</v>
      </c>
      <c r="E96" s="424" t="s">
        <v>654</v>
      </c>
      <c r="G96" s="425">
        <v>1088.7900500000001</v>
      </c>
      <c r="N96" s="426"/>
    </row>
    <row r="97" spans="1:64" ht="15" customHeight="1">
      <c r="A97" s="401" t="s">
        <v>746</v>
      </c>
      <c r="B97" s="402" t="s">
        <v>654</v>
      </c>
      <c r="C97" s="402" t="s">
        <v>744</v>
      </c>
      <c r="D97" s="440" t="s">
        <v>745</v>
      </c>
      <c r="E97" s="440"/>
      <c r="F97" s="402" t="s">
        <v>694</v>
      </c>
      <c r="G97" s="420">
        <v>1103.6828</v>
      </c>
      <c r="H97" s="420"/>
      <c r="I97" s="420">
        <f>G97*AO97</f>
        <v>0</v>
      </c>
      <c r="J97" s="420">
        <f>G97*AP97</f>
        <v>0</v>
      </c>
      <c r="K97" s="420">
        <f>G97*H97</f>
        <v>0</v>
      </c>
      <c r="L97" s="420">
        <v>0</v>
      </c>
      <c r="M97" s="420">
        <f>G97*L97</f>
        <v>0</v>
      </c>
      <c r="N97" s="421" t="s">
        <v>1358</v>
      </c>
      <c r="Z97" s="420">
        <f>IF(AQ97="5",BJ97,0)</f>
        <v>0</v>
      </c>
      <c r="AB97" s="420">
        <f>IF(AQ97="1",BH97,0)</f>
        <v>0</v>
      </c>
      <c r="AC97" s="420">
        <f>IF(AQ97="1",BI97,0)</f>
        <v>0</v>
      </c>
      <c r="AD97" s="420">
        <f>IF(AQ97="7",BH97,0)</f>
        <v>0</v>
      </c>
      <c r="AE97" s="420">
        <f>IF(AQ97="7",BI97,0)</f>
        <v>0</v>
      </c>
      <c r="AF97" s="420">
        <f>IF(AQ97="2",BH97,0)</f>
        <v>0</v>
      </c>
      <c r="AG97" s="420">
        <f>IF(AQ97="2",BI97,0)</f>
        <v>0</v>
      </c>
      <c r="AH97" s="420">
        <f>IF(AQ97="0",BJ97,0)</f>
        <v>0</v>
      </c>
      <c r="AI97" s="408" t="s">
        <v>654</v>
      </c>
      <c r="AJ97" s="420">
        <f>IF(AN97=0,K97,0)</f>
        <v>0</v>
      </c>
      <c r="AK97" s="420">
        <f>IF(AN97=15,K97,0)</f>
        <v>0</v>
      </c>
      <c r="AL97" s="420">
        <f>IF(AN97=21,K97,0)</f>
        <v>0</v>
      </c>
      <c r="AN97" s="420">
        <v>21</v>
      </c>
      <c r="AO97" s="420">
        <f>H97*0</f>
        <v>0</v>
      </c>
      <c r="AP97" s="420">
        <f>H97*(1-0)</f>
        <v>0</v>
      </c>
      <c r="AQ97" s="422" t="s">
        <v>657</v>
      </c>
      <c r="AV97" s="420">
        <f>AW97+AX97</f>
        <v>0</v>
      </c>
      <c r="AW97" s="420">
        <f>G97*AO97</f>
        <v>0</v>
      </c>
      <c r="AX97" s="420">
        <f>G97*AP97</f>
        <v>0</v>
      </c>
      <c r="AY97" s="422" t="s">
        <v>734</v>
      </c>
      <c r="AZ97" s="422" t="s">
        <v>670</v>
      </c>
      <c r="BA97" s="408" t="s">
        <v>662</v>
      </c>
      <c r="BC97" s="420">
        <f>AW97+AX97</f>
        <v>0</v>
      </c>
      <c r="BD97" s="420">
        <f>H97/(100-BE97)*100</f>
        <v>0</v>
      </c>
      <c r="BE97" s="420">
        <v>0</v>
      </c>
      <c r="BF97" s="420">
        <f>M97</f>
        <v>0</v>
      </c>
      <c r="BH97" s="420">
        <f>G97*AO97</f>
        <v>0</v>
      </c>
      <c r="BI97" s="420">
        <f>G97*AP97</f>
        <v>0</v>
      </c>
      <c r="BJ97" s="420">
        <f>G97*H97</f>
        <v>0</v>
      </c>
      <c r="BK97" s="420"/>
      <c r="BL97" s="420">
        <v>16</v>
      </c>
    </row>
    <row r="98" spans="1:64" ht="15" customHeight="1">
      <c r="A98" s="423"/>
      <c r="D98" s="424" t="s">
        <v>1398</v>
      </c>
      <c r="E98" s="424" t="s">
        <v>654</v>
      </c>
      <c r="G98" s="425">
        <v>1103.6828</v>
      </c>
      <c r="N98" s="426"/>
    </row>
    <row r="99" spans="1:64" ht="15" customHeight="1">
      <c r="A99" s="401" t="s">
        <v>749</v>
      </c>
      <c r="B99" s="402" t="s">
        <v>654</v>
      </c>
      <c r="C99" s="402" t="s">
        <v>740</v>
      </c>
      <c r="D99" s="440" t="s">
        <v>747</v>
      </c>
      <c r="E99" s="440"/>
      <c r="F99" s="402" t="s">
        <v>694</v>
      </c>
      <c r="G99" s="420">
        <v>1103.6829</v>
      </c>
      <c r="H99" s="420"/>
      <c r="I99" s="420">
        <f>G99*AO99</f>
        <v>0</v>
      </c>
      <c r="J99" s="420">
        <f>G99*AP99</f>
        <v>0</v>
      </c>
      <c r="K99" s="420">
        <f>G99*H99</f>
        <v>0</v>
      </c>
      <c r="L99" s="420">
        <v>0</v>
      </c>
      <c r="M99" s="420">
        <f>G99*L99</f>
        <v>0</v>
      </c>
      <c r="N99" s="421" t="s">
        <v>1358</v>
      </c>
      <c r="Z99" s="420">
        <f>IF(AQ99="5",BJ99,0)</f>
        <v>0</v>
      </c>
      <c r="AB99" s="420">
        <f>IF(AQ99="1",BH99,0)</f>
        <v>0</v>
      </c>
      <c r="AC99" s="420">
        <f>IF(AQ99="1",BI99,0)</f>
        <v>0</v>
      </c>
      <c r="AD99" s="420">
        <f>IF(AQ99="7",BH99,0)</f>
        <v>0</v>
      </c>
      <c r="AE99" s="420">
        <f>IF(AQ99="7",BI99,0)</f>
        <v>0</v>
      </c>
      <c r="AF99" s="420">
        <f>IF(AQ99="2",BH99,0)</f>
        <v>0</v>
      </c>
      <c r="AG99" s="420">
        <f>IF(AQ99="2",BI99,0)</f>
        <v>0</v>
      </c>
      <c r="AH99" s="420">
        <f>IF(AQ99="0",BJ99,0)</f>
        <v>0</v>
      </c>
      <c r="AI99" s="408" t="s">
        <v>654</v>
      </c>
      <c r="AJ99" s="420">
        <f>IF(AN99=0,K99,0)</f>
        <v>0</v>
      </c>
      <c r="AK99" s="420">
        <f>IF(AN99=15,K99,0)</f>
        <v>0</v>
      </c>
      <c r="AL99" s="420">
        <f>IF(AN99=21,K99,0)</f>
        <v>0</v>
      </c>
      <c r="AN99" s="420">
        <v>21</v>
      </c>
      <c r="AO99" s="420">
        <f>H99*0</f>
        <v>0</v>
      </c>
      <c r="AP99" s="420">
        <f>H99*(1-0)</f>
        <v>0</v>
      </c>
      <c r="AQ99" s="422" t="s">
        <v>657</v>
      </c>
      <c r="AV99" s="420">
        <f>AW99+AX99</f>
        <v>0</v>
      </c>
      <c r="AW99" s="420">
        <f>G99*AO99</f>
        <v>0</v>
      </c>
      <c r="AX99" s="420">
        <f>G99*AP99</f>
        <v>0</v>
      </c>
      <c r="AY99" s="422" t="s">
        <v>734</v>
      </c>
      <c r="AZ99" s="422" t="s">
        <v>670</v>
      </c>
      <c r="BA99" s="408" t="s">
        <v>662</v>
      </c>
      <c r="BC99" s="420">
        <f>AW99+AX99</f>
        <v>0</v>
      </c>
      <c r="BD99" s="420">
        <f>H99/(100-BE99)*100</f>
        <v>0</v>
      </c>
      <c r="BE99" s="420">
        <v>0</v>
      </c>
      <c r="BF99" s="420">
        <f>M99</f>
        <v>0</v>
      </c>
      <c r="BH99" s="420">
        <f>G99*AO99</f>
        <v>0</v>
      </c>
      <c r="BI99" s="420">
        <f>G99*AP99</f>
        <v>0</v>
      </c>
      <c r="BJ99" s="420">
        <f>G99*H99</f>
        <v>0</v>
      </c>
      <c r="BK99" s="420"/>
      <c r="BL99" s="420">
        <v>16</v>
      </c>
    </row>
    <row r="100" spans="1:64" ht="15" customHeight="1">
      <c r="A100" s="423"/>
      <c r="D100" s="424" t="s">
        <v>748</v>
      </c>
      <c r="E100" s="424" t="s">
        <v>654</v>
      </c>
      <c r="G100" s="425">
        <v>14.892850000000001</v>
      </c>
      <c r="N100" s="426"/>
    </row>
    <row r="101" spans="1:64" ht="15" customHeight="1">
      <c r="A101" s="423"/>
      <c r="D101" s="424" t="s">
        <v>1397</v>
      </c>
      <c r="E101" s="424" t="s">
        <v>654</v>
      </c>
      <c r="G101" s="425">
        <v>1088.7900500000001</v>
      </c>
      <c r="N101" s="426"/>
    </row>
    <row r="102" spans="1:64" ht="15" customHeight="1">
      <c r="A102" s="401" t="s">
        <v>751</v>
      </c>
      <c r="B102" s="402" t="s">
        <v>654</v>
      </c>
      <c r="C102" s="402" t="s">
        <v>744</v>
      </c>
      <c r="D102" s="440" t="s">
        <v>750</v>
      </c>
      <c r="E102" s="440"/>
      <c r="F102" s="402" t="s">
        <v>694</v>
      </c>
      <c r="G102" s="420">
        <v>1103.6828</v>
      </c>
      <c r="H102" s="420"/>
      <c r="I102" s="420">
        <f>G102*AO102</f>
        <v>0</v>
      </c>
      <c r="J102" s="420">
        <f>G102*AP102</f>
        <v>0</v>
      </c>
      <c r="K102" s="420">
        <f>G102*H102</f>
        <v>0</v>
      </c>
      <c r="L102" s="420">
        <v>0</v>
      </c>
      <c r="M102" s="420">
        <f>G102*L102</f>
        <v>0</v>
      </c>
      <c r="N102" s="421" t="s">
        <v>1358</v>
      </c>
      <c r="Z102" s="420">
        <f>IF(AQ102="5",BJ102,0)</f>
        <v>0</v>
      </c>
      <c r="AB102" s="420">
        <f>IF(AQ102="1",BH102,0)</f>
        <v>0</v>
      </c>
      <c r="AC102" s="420">
        <f>IF(AQ102="1",BI102,0)</f>
        <v>0</v>
      </c>
      <c r="AD102" s="420">
        <f>IF(AQ102="7",BH102,0)</f>
        <v>0</v>
      </c>
      <c r="AE102" s="420">
        <f>IF(AQ102="7",BI102,0)</f>
        <v>0</v>
      </c>
      <c r="AF102" s="420">
        <f>IF(AQ102="2",BH102,0)</f>
        <v>0</v>
      </c>
      <c r="AG102" s="420">
        <f>IF(AQ102="2",BI102,0)</f>
        <v>0</v>
      </c>
      <c r="AH102" s="420">
        <f>IF(AQ102="0",BJ102,0)</f>
        <v>0</v>
      </c>
      <c r="AI102" s="408" t="s">
        <v>654</v>
      </c>
      <c r="AJ102" s="420">
        <f>IF(AN102=0,K102,0)</f>
        <v>0</v>
      </c>
      <c r="AK102" s="420">
        <f>IF(AN102=15,K102,0)</f>
        <v>0</v>
      </c>
      <c r="AL102" s="420">
        <f>IF(AN102=21,K102,0)</f>
        <v>0</v>
      </c>
      <c r="AN102" s="420">
        <v>21</v>
      </c>
      <c r="AO102" s="420">
        <f>H102*0</f>
        <v>0</v>
      </c>
      <c r="AP102" s="420">
        <f>H102*(1-0)</f>
        <v>0</v>
      </c>
      <c r="AQ102" s="422" t="s">
        <v>657</v>
      </c>
      <c r="AV102" s="420">
        <f>AW102+AX102</f>
        <v>0</v>
      </c>
      <c r="AW102" s="420">
        <f>G102*AO102</f>
        <v>0</v>
      </c>
      <c r="AX102" s="420">
        <f>G102*AP102</f>
        <v>0</v>
      </c>
      <c r="AY102" s="422" t="s">
        <v>734</v>
      </c>
      <c r="AZ102" s="422" t="s">
        <v>670</v>
      </c>
      <c r="BA102" s="408" t="s">
        <v>662</v>
      </c>
      <c r="BC102" s="420">
        <f>AW102+AX102</f>
        <v>0</v>
      </c>
      <c r="BD102" s="420">
        <f>H102/(100-BE102)*100</f>
        <v>0</v>
      </c>
      <c r="BE102" s="420">
        <v>0</v>
      </c>
      <c r="BF102" s="420">
        <f>M102</f>
        <v>0</v>
      </c>
      <c r="BH102" s="420">
        <f>G102*AO102</f>
        <v>0</v>
      </c>
      <c r="BI102" s="420">
        <f>G102*AP102</f>
        <v>0</v>
      </c>
      <c r="BJ102" s="420">
        <f>G102*H102</f>
        <v>0</v>
      </c>
      <c r="BK102" s="420"/>
      <c r="BL102" s="420">
        <v>16</v>
      </c>
    </row>
    <row r="103" spans="1:64" ht="15" customHeight="1">
      <c r="A103" s="423"/>
      <c r="D103" s="424" t="s">
        <v>1398</v>
      </c>
      <c r="E103" s="424" t="s">
        <v>654</v>
      </c>
      <c r="G103" s="425">
        <v>1103.6828</v>
      </c>
      <c r="N103" s="426"/>
    </row>
    <row r="104" spans="1:64" ht="15" customHeight="1">
      <c r="A104" s="401" t="s">
        <v>754</v>
      </c>
      <c r="B104" s="402" t="s">
        <v>654</v>
      </c>
      <c r="C104" s="402" t="s">
        <v>740</v>
      </c>
      <c r="D104" s="440" t="s">
        <v>752</v>
      </c>
      <c r="E104" s="440"/>
      <c r="F104" s="402" t="s">
        <v>694</v>
      </c>
      <c r="G104" s="420">
        <v>1053.26955</v>
      </c>
      <c r="H104" s="420"/>
      <c r="I104" s="420">
        <f>G104*AO104</f>
        <v>0</v>
      </c>
      <c r="J104" s="420">
        <f>G104*AP104</f>
        <v>0</v>
      </c>
      <c r="K104" s="420">
        <f>G104*H104</f>
        <v>0</v>
      </c>
      <c r="L104" s="420">
        <v>0</v>
      </c>
      <c r="M104" s="420">
        <f>G104*L104</f>
        <v>0</v>
      </c>
      <c r="N104" s="421" t="s">
        <v>1358</v>
      </c>
      <c r="Z104" s="420">
        <f>IF(AQ104="5",BJ104,0)</f>
        <v>0</v>
      </c>
      <c r="AB104" s="420">
        <f>IF(AQ104="1",BH104,0)</f>
        <v>0</v>
      </c>
      <c r="AC104" s="420">
        <f>IF(AQ104="1",BI104,0)</f>
        <v>0</v>
      </c>
      <c r="AD104" s="420">
        <f>IF(AQ104="7",BH104,0)</f>
        <v>0</v>
      </c>
      <c r="AE104" s="420">
        <f>IF(AQ104="7",BI104,0)</f>
        <v>0</v>
      </c>
      <c r="AF104" s="420">
        <f>IF(AQ104="2",BH104,0)</f>
        <v>0</v>
      </c>
      <c r="AG104" s="420">
        <f>IF(AQ104="2",BI104,0)</f>
        <v>0</v>
      </c>
      <c r="AH104" s="420">
        <f>IF(AQ104="0",BJ104,0)</f>
        <v>0</v>
      </c>
      <c r="AI104" s="408" t="s">
        <v>654</v>
      </c>
      <c r="AJ104" s="420">
        <f>IF(AN104=0,K104,0)</f>
        <v>0</v>
      </c>
      <c r="AK104" s="420">
        <f>IF(AN104=15,K104,0)</f>
        <v>0</v>
      </c>
      <c r="AL104" s="420">
        <f>IF(AN104=21,K104,0)</f>
        <v>0</v>
      </c>
      <c r="AN104" s="420">
        <v>21</v>
      </c>
      <c r="AO104" s="420">
        <f>H104*0</f>
        <v>0</v>
      </c>
      <c r="AP104" s="420">
        <f>H104*(1-0)</f>
        <v>0</v>
      </c>
      <c r="AQ104" s="422" t="s">
        <v>657</v>
      </c>
      <c r="AV104" s="420">
        <f>AW104+AX104</f>
        <v>0</v>
      </c>
      <c r="AW104" s="420">
        <f>G104*AO104</f>
        <v>0</v>
      </c>
      <c r="AX104" s="420">
        <f>G104*AP104</f>
        <v>0</v>
      </c>
      <c r="AY104" s="422" t="s">
        <v>734</v>
      </c>
      <c r="AZ104" s="422" t="s">
        <v>670</v>
      </c>
      <c r="BA104" s="408" t="s">
        <v>662</v>
      </c>
      <c r="BC104" s="420">
        <f>AW104+AX104</f>
        <v>0</v>
      </c>
      <c r="BD104" s="420">
        <f>H104/(100-BE104)*100</f>
        <v>0</v>
      </c>
      <c r="BE104" s="420">
        <v>0</v>
      </c>
      <c r="BF104" s="420">
        <f>M104</f>
        <v>0</v>
      </c>
      <c r="BH104" s="420">
        <f>G104*AO104</f>
        <v>0</v>
      </c>
      <c r="BI104" s="420">
        <f>G104*AP104</f>
        <v>0</v>
      </c>
      <c r="BJ104" s="420">
        <f>G104*H104</f>
        <v>0</v>
      </c>
      <c r="BK104" s="420"/>
      <c r="BL104" s="420">
        <v>16</v>
      </c>
    </row>
    <row r="105" spans="1:64" ht="15" customHeight="1">
      <c r="A105" s="423"/>
      <c r="D105" s="424" t="s">
        <v>1399</v>
      </c>
      <c r="E105" s="424" t="s">
        <v>654</v>
      </c>
      <c r="G105" s="425">
        <v>2156.95235</v>
      </c>
      <c r="N105" s="426"/>
    </row>
    <row r="106" spans="1:64" ht="15" customHeight="1">
      <c r="A106" s="423"/>
      <c r="D106" s="424" t="s">
        <v>753</v>
      </c>
      <c r="E106" s="424" t="s">
        <v>654</v>
      </c>
      <c r="G106" s="425">
        <v>-14.892750000000001</v>
      </c>
      <c r="N106" s="426"/>
    </row>
    <row r="107" spans="1:64" ht="15" customHeight="1">
      <c r="A107" s="423"/>
      <c r="D107" s="424" t="s">
        <v>1400</v>
      </c>
      <c r="E107" s="424" t="s">
        <v>654</v>
      </c>
      <c r="G107" s="425">
        <v>-1088.7900500000001</v>
      </c>
      <c r="N107" s="426"/>
    </row>
    <row r="108" spans="1:64" ht="15" customHeight="1">
      <c r="A108" s="401" t="s">
        <v>757</v>
      </c>
      <c r="B108" s="402" t="s">
        <v>654</v>
      </c>
      <c r="C108" s="402" t="s">
        <v>755</v>
      </c>
      <c r="D108" s="440" t="s">
        <v>756</v>
      </c>
      <c r="E108" s="440"/>
      <c r="F108" s="402" t="s">
        <v>694</v>
      </c>
      <c r="G108" s="420">
        <v>1053.26955</v>
      </c>
      <c r="H108" s="420"/>
      <c r="I108" s="420">
        <f>G108*AO108</f>
        <v>0</v>
      </c>
      <c r="J108" s="420">
        <f>G108*AP108</f>
        <v>0</v>
      </c>
      <c r="K108" s="420">
        <f>G108*H108</f>
        <v>0</v>
      </c>
      <c r="L108" s="420">
        <v>0</v>
      </c>
      <c r="M108" s="420">
        <f>G108*L108</f>
        <v>0</v>
      </c>
      <c r="N108" s="421" t="s">
        <v>1358</v>
      </c>
      <c r="Z108" s="420">
        <f>IF(AQ108="5",BJ108,0)</f>
        <v>0</v>
      </c>
      <c r="AB108" s="420">
        <f>IF(AQ108="1",BH108,0)</f>
        <v>0</v>
      </c>
      <c r="AC108" s="420">
        <f>IF(AQ108="1",BI108,0)</f>
        <v>0</v>
      </c>
      <c r="AD108" s="420">
        <f>IF(AQ108="7",BH108,0)</f>
        <v>0</v>
      </c>
      <c r="AE108" s="420">
        <f>IF(AQ108="7",BI108,0)</f>
        <v>0</v>
      </c>
      <c r="AF108" s="420">
        <f>IF(AQ108="2",BH108,0)</f>
        <v>0</v>
      </c>
      <c r="AG108" s="420">
        <f>IF(AQ108="2",BI108,0)</f>
        <v>0</v>
      </c>
      <c r="AH108" s="420">
        <f>IF(AQ108="0",BJ108,0)</f>
        <v>0</v>
      </c>
      <c r="AI108" s="408" t="s">
        <v>654</v>
      </c>
      <c r="AJ108" s="420">
        <f>IF(AN108=0,K108,0)</f>
        <v>0</v>
      </c>
      <c r="AK108" s="420">
        <f>IF(AN108=15,K108,0)</f>
        <v>0</v>
      </c>
      <c r="AL108" s="420">
        <f>IF(AN108=21,K108,0)</f>
        <v>0</v>
      </c>
      <c r="AN108" s="420">
        <v>21</v>
      </c>
      <c r="AO108" s="420">
        <f>H108*0</f>
        <v>0</v>
      </c>
      <c r="AP108" s="420">
        <f>H108*(1-0)</f>
        <v>0</v>
      </c>
      <c r="AQ108" s="422" t="s">
        <v>657</v>
      </c>
      <c r="AV108" s="420">
        <f>AW108+AX108</f>
        <v>0</v>
      </c>
      <c r="AW108" s="420">
        <f>G108*AO108</f>
        <v>0</v>
      </c>
      <c r="AX108" s="420">
        <f>G108*AP108</f>
        <v>0</v>
      </c>
      <c r="AY108" s="422" t="s">
        <v>734</v>
      </c>
      <c r="AZ108" s="422" t="s">
        <v>670</v>
      </c>
      <c r="BA108" s="408" t="s">
        <v>662</v>
      </c>
      <c r="BC108" s="420">
        <f>AW108+AX108</f>
        <v>0</v>
      </c>
      <c r="BD108" s="420">
        <f>H108/(100-BE108)*100</f>
        <v>0</v>
      </c>
      <c r="BE108" s="420">
        <v>0</v>
      </c>
      <c r="BF108" s="420">
        <f>M108</f>
        <v>0</v>
      </c>
      <c r="BH108" s="420">
        <f>G108*AO108</f>
        <v>0</v>
      </c>
      <c r="BI108" s="420">
        <f>G108*AP108</f>
        <v>0</v>
      </c>
      <c r="BJ108" s="420">
        <f>G108*H108</f>
        <v>0</v>
      </c>
      <c r="BK108" s="420"/>
      <c r="BL108" s="420">
        <v>16</v>
      </c>
    </row>
    <row r="109" spans="1:64" ht="15" customHeight="1">
      <c r="A109" s="423"/>
      <c r="D109" s="424" t="s">
        <v>1401</v>
      </c>
      <c r="E109" s="424" t="s">
        <v>654</v>
      </c>
      <c r="G109" s="425">
        <v>1053.26955</v>
      </c>
      <c r="N109" s="426"/>
    </row>
    <row r="110" spans="1:64" ht="15" customHeight="1">
      <c r="A110" s="401" t="s">
        <v>761</v>
      </c>
      <c r="B110" s="402" t="s">
        <v>654</v>
      </c>
      <c r="C110" s="402" t="s">
        <v>758</v>
      </c>
      <c r="D110" s="440" t="s">
        <v>759</v>
      </c>
      <c r="E110" s="440"/>
      <c r="F110" s="402" t="s">
        <v>694</v>
      </c>
      <c r="G110" s="420">
        <v>20012.121449999999</v>
      </c>
      <c r="H110" s="420"/>
      <c r="I110" s="420">
        <f>G110*AO110</f>
        <v>0</v>
      </c>
      <c r="J110" s="420">
        <f>G110*AP110</f>
        <v>0</v>
      </c>
      <c r="K110" s="420">
        <f>G110*H110</f>
        <v>0</v>
      </c>
      <c r="L110" s="420">
        <v>0</v>
      </c>
      <c r="M110" s="420">
        <f>G110*L110</f>
        <v>0</v>
      </c>
      <c r="N110" s="421" t="s">
        <v>1358</v>
      </c>
      <c r="Z110" s="420">
        <f>IF(AQ110="5",BJ110,0)</f>
        <v>0</v>
      </c>
      <c r="AB110" s="420">
        <f>IF(AQ110="1",BH110,0)</f>
        <v>0</v>
      </c>
      <c r="AC110" s="420">
        <f>IF(AQ110="1",BI110,0)</f>
        <v>0</v>
      </c>
      <c r="AD110" s="420">
        <f>IF(AQ110="7",BH110,0)</f>
        <v>0</v>
      </c>
      <c r="AE110" s="420">
        <f>IF(AQ110="7",BI110,0)</f>
        <v>0</v>
      </c>
      <c r="AF110" s="420">
        <f>IF(AQ110="2",BH110,0)</f>
        <v>0</v>
      </c>
      <c r="AG110" s="420">
        <f>IF(AQ110="2",BI110,0)</f>
        <v>0</v>
      </c>
      <c r="AH110" s="420">
        <f>IF(AQ110="0",BJ110,0)</f>
        <v>0</v>
      </c>
      <c r="AI110" s="408" t="s">
        <v>654</v>
      </c>
      <c r="AJ110" s="420">
        <f>IF(AN110=0,K110,0)</f>
        <v>0</v>
      </c>
      <c r="AK110" s="420">
        <f>IF(AN110=15,K110,0)</f>
        <v>0</v>
      </c>
      <c r="AL110" s="420">
        <f>IF(AN110=21,K110,0)</f>
        <v>0</v>
      </c>
      <c r="AN110" s="420">
        <v>21</v>
      </c>
      <c r="AO110" s="420">
        <f>H110*0</f>
        <v>0</v>
      </c>
      <c r="AP110" s="420">
        <f>H110*(1-0)</f>
        <v>0</v>
      </c>
      <c r="AQ110" s="422" t="s">
        <v>657</v>
      </c>
      <c r="AV110" s="420">
        <f>AW110+AX110</f>
        <v>0</v>
      </c>
      <c r="AW110" s="420">
        <f>G110*AO110</f>
        <v>0</v>
      </c>
      <c r="AX110" s="420">
        <f>G110*AP110</f>
        <v>0</v>
      </c>
      <c r="AY110" s="422" t="s">
        <v>734</v>
      </c>
      <c r="AZ110" s="422" t="s">
        <v>670</v>
      </c>
      <c r="BA110" s="408" t="s">
        <v>662</v>
      </c>
      <c r="BC110" s="420">
        <f>AW110+AX110</f>
        <v>0</v>
      </c>
      <c r="BD110" s="420">
        <f>H110/(100-BE110)*100</f>
        <v>0</v>
      </c>
      <c r="BE110" s="420">
        <v>0</v>
      </c>
      <c r="BF110" s="420">
        <f>M110</f>
        <v>0</v>
      </c>
      <c r="BH110" s="420">
        <f>G110*AO110</f>
        <v>0</v>
      </c>
      <c r="BI110" s="420">
        <f>G110*AP110</f>
        <v>0</v>
      </c>
      <c r="BJ110" s="420">
        <f>G110*H110</f>
        <v>0</v>
      </c>
      <c r="BK110" s="420"/>
      <c r="BL110" s="420">
        <v>16</v>
      </c>
    </row>
    <row r="111" spans="1:64" ht="15" customHeight="1">
      <c r="A111" s="423"/>
      <c r="D111" s="424" t="s">
        <v>1402</v>
      </c>
      <c r="E111" s="424" t="s">
        <v>654</v>
      </c>
      <c r="G111" s="425">
        <v>20012.121450000002</v>
      </c>
      <c r="N111" s="426"/>
    </row>
    <row r="112" spans="1:64" ht="15" customHeight="1">
      <c r="A112" s="416" t="s">
        <v>654</v>
      </c>
      <c r="B112" s="417" t="s">
        <v>654</v>
      </c>
      <c r="C112" s="417" t="s">
        <v>727</v>
      </c>
      <c r="D112" s="455" t="s">
        <v>760</v>
      </c>
      <c r="E112" s="455"/>
      <c r="F112" s="418" t="s">
        <v>608</v>
      </c>
      <c r="G112" s="418" t="s">
        <v>608</v>
      </c>
      <c r="H112" s="418"/>
      <c r="I112" s="400">
        <f>SUM(I113:I144)</f>
        <v>0</v>
      </c>
      <c r="J112" s="400">
        <f>SUM(J113:J144)</f>
        <v>0</v>
      </c>
      <c r="K112" s="400">
        <f>SUM(K113:K144)</f>
        <v>0</v>
      </c>
      <c r="L112" s="408" t="s">
        <v>654</v>
      </c>
      <c r="M112" s="400">
        <f>SUM(M113:M144)</f>
        <v>1253.9328767</v>
      </c>
      <c r="N112" s="419" t="s">
        <v>654</v>
      </c>
      <c r="AI112" s="408" t="s">
        <v>654</v>
      </c>
      <c r="AS112" s="400">
        <f>SUM(AJ113:AJ144)</f>
        <v>0</v>
      </c>
      <c r="AT112" s="400">
        <f>SUM(AK113:AK144)</f>
        <v>0</v>
      </c>
      <c r="AU112" s="400">
        <f>SUM(AL113:AL144)</f>
        <v>0</v>
      </c>
    </row>
    <row r="113" spans="1:64" ht="15" customHeight="1">
      <c r="A113" s="401" t="s">
        <v>769</v>
      </c>
      <c r="B113" s="402" t="s">
        <v>654</v>
      </c>
      <c r="C113" s="402" t="s">
        <v>762</v>
      </c>
      <c r="D113" s="440" t="s">
        <v>763</v>
      </c>
      <c r="E113" s="440"/>
      <c r="F113" s="402" t="s">
        <v>694</v>
      </c>
      <c r="G113" s="420">
        <v>14.892749999999999</v>
      </c>
      <c r="H113" s="420"/>
      <c r="I113" s="420">
        <f>G113*AO113</f>
        <v>0</v>
      </c>
      <c r="J113" s="420">
        <f>G113*AP113</f>
        <v>0</v>
      </c>
      <c r="K113" s="420">
        <f>G113*H113</f>
        <v>0</v>
      </c>
      <c r="L113" s="420">
        <v>0</v>
      </c>
      <c r="M113" s="420">
        <f>G113*L113</f>
        <v>0</v>
      </c>
      <c r="N113" s="421" t="s">
        <v>1358</v>
      </c>
      <c r="Z113" s="420">
        <f>IF(AQ113="5",BJ113,0)</f>
        <v>0</v>
      </c>
      <c r="AB113" s="420">
        <f>IF(AQ113="1",BH113,0)</f>
        <v>0</v>
      </c>
      <c r="AC113" s="420">
        <f>IF(AQ113="1",BI113,0)</f>
        <v>0</v>
      </c>
      <c r="AD113" s="420">
        <f>IF(AQ113="7",BH113,0)</f>
        <v>0</v>
      </c>
      <c r="AE113" s="420">
        <f>IF(AQ113="7",BI113,0)</f>
        <v>0</v>
      </c>
      <c r="AF113" s="420">
        <f>IF(AQ113="2",BH113,0)</f>
        <v>0</v>
      </c>
      <c r="AG113" s="420">
        <f>IF(AQ113="2",BI113,0)</f>
        <v>0</v>
      </c>
      <c r="AH113" s="420">
        <f>IF(AQ113="0",BJ113,0)</f>
        <v>0</v>
      </c>
      <c r="AI113" s="408" t="s">
        <v>654</v>
      </c>
      <c r="AJ113" s="420">
        <f>IF(AN113=0,K113,0)</f>
        <v>0</v>
      </c>
      <c r="AK113" s="420">
        <f>IF(AN113=15,K113,0)</f>
        <v>0</v>
      </c>
      <c r="AL113" s="420">
        <f>IF(AN113=21,K113,0)</f>
        <v>0</v>
      </c>
      <c r="AN113" s="420">
        <v>21</v>
      </c>
      <c r="AO113" s="420">
        <f>H113*0</f>
        <v>0</v>
      </c>
      <c r="AP113" s="420">
        <f>H113*(1-0)</f>
        <v>0</v>
      </c>
      <c r="AQ113" s="422" t="s">
        <v>657</v>
      </c>
      <c r="AV113" s="420">
        <f>AW113+AX113</f>
        <v>0</v>
      </c>
      <c r="AW113" s="420">
        <f>G113*AO113</f>
        <v>0</v>
      </c>
      <c r="AX113" s="420">
        <f>G113*AP113</f>
        <v>0</v>
      </c>
      <c r="AY113" s="422" t="s">
        <v>764</v>
      </c>
      <c r="AZ113" s="422" t="s">
        <v>670</v>
      </c>
      <c r="BA113" s="408" t="s">
        <v>662</v>
      </c>
      <c r="BC113" s="420">
        <f>AW113+AX113</f>
        <v>0</v>
      </c>
      <c r="BD113" s="420">
        <f>H113/(100-BE113)*100</f>
        <v>0</v>
      </c>
      <c r="BE113" s="420">
        <v>0</v>
      </c>
      <c r="BF113" s="420">
        <f>M113</f>
        <v>0</v>
      </c>
      <c r="BH113" s="420">
        <f>G113*AO113</f>
        <v>0</v>
      </c>
      <c r="BI113" s="420">
        <f>G113*AP113</f>
        <v>0</v>
      </c>
      <c r="BJ113" s="420">
        <f>G113*H113</f>
        <v>0</v>
      </c>
      <c r="BK113" s="420"/>
      <c r="BL113" s="420">
        <v>17</v>
      </c>
    </row>
    <row r="114" spans="1:64" ht="15" customHeight="1">
      <c r="A114" s="423"/>
      <c r="D114" s="424" t="s">
        <v>765</v>
      </c>
      <c r="E114" s="424" t="s">
        <v>654</v>
      </c>
      <c r="G114" s="425">
        <v>16.650000000000002</v>
      </c>
      <c r="N114" s="426"/>
    </row>
    <row r="115" spans="1:64" ht="15" customHeight="1">
      <c r="A115" s="423"/>
      <c r="D115" s="424" t="s">
        <v>766</v>
      </c>
      <c r="E115" s="424" t="s">
        <v>654</v>
      </c>
      <c r="G115" s="425">
        <v>-0.18000000000000002</v>
      </c>
      <c r="N115" s="426"/>
    </row>
    <row r="116" spans="1:64" ht="15" customHeight="1">
      <c r="A116" s="423"/>
      <c r="D116" s="424" t="s">
        <v>767</v>
      </c>
      <c r="E116" s="424" t="s">
        <v>654</v>
      </c>
      <c r="G116" s="425">
        <v>-0.125</v>
      </c>
      <c r="N116" s="426"/>
    </row>
    <row r="117" spans="1:64" ht="15" customHeight="1">
      <c r="A117" s="423"/>
      <c r="D117" s="424" t="s">
        <v>768</v>
      </c>
      <c r="E117" s="424" t="s">
        <v>654</v>
      </c>
      <c r="G117" s="425">
        <v>-1.45225</v>
      </c>
      <c r="N117" s="426"/>
    </row>
    <row r="118" spans="1:64" ht="15" customHeight="1">
      <c r="A118" s="401" t="s">
        <v>777</v>
      </c>
      <c r="B118" s="402" t="s">
        <v>654</v>
      </c>
      <c r="C118" s="402" t="s">
        <v>770</v>
      </c>
      <c r="D118" s="440" t="s">
        <v>771</v>
      </c>
      <c r="E118" s="440"/>
      <c r="F118" s="402" t="s">
        <v>694</v>
      </c>
      <c r="G118" s="420">
        <v>750.85801000000004</v>
      </c>
      <c r="H118" s="420"/>
      <c r="I118" s="420">
        <f>G118*AO118</f>
        <v>0</v>
      </c>
      <c r="J118" s="420">
        <f>G118*AP118</f>
        <v>0</v>
      </c>
      <c r="K118" s="420">
        <f>G118*H118</f>
        <v>0</v>
      </c>
      <c r="L118" s="420">
        <v>1.67</v>
      </c>
      <c r="M118" s="420">
        <f>G118*L118</f>
        <v>1253.9328767</v>
      </c>
      <c r="N118" s="421" t="s">
        <v>1358</v>
      </c>
      <c r="Z118" s="420">
        <f>IF(AQ118="5",BJ118,0)</f>
        <v>0</v>
      </c>
      <c r="AB118" s="420">
        <f>IF(AQ118="1",BH118,0)</f>
        <v>0</v>
      </c>
      <c r="AC118" s="420">
        <f>IF(AQ118="1",BI118,0)</f>
        <v>0</v>
      </c>
      <c r="AD118" s="420">
        <f>IF(AQ118="7",BH118,0)</f>
        <v>0</v>
      </c>
      <c r="AE118" s="420">
        <f>IF(AQ118="7",BI118,0)</f>
        <v>0</v>
      </c>
      <c r="AF118" s="420">
        <f>IF(AQ118="2",BH118,0)</f>
        <v>0</v>
      </c>
      <c r="AG118" s="420">
        <f>IF(AQ118="2",BI118,0)</f>
        <v>0</v>
      </c>
      <c r="AH118" s="420">
        <f>IF(AQ118="0",BJ118,0)</f>
        <v>0</v>
      </c>
      <c r="AI118" s="408" t="s">
        <v>654</v>
      </c>
      <c r="AJ118" s="420">
        <f>IF(AN118=0,K118,0)</f>
        <v>0</v>
      </c>
      <c r="AK118" s="420">
        <f>IF(AN118=15,K118,0)</f>
        <v>0</v>
      </c>
      <c r="AL118" s="420">
        <f>IF(AN118=21,K118,0)</f>
        <v>0</v>
      </c>
      <c r="AN118" s="420">
        <v>21</v>
      </c>
      <c r="AO118" s="420">
        <f>H118*0.296986627091193</f>
        <v>0</v>
      </c>
      <c r="AP118" s="420">
        <f>H118*(1-0.296986627091193)</f>
        <v>0</v>
      </c>
      <c r="AQ118" s="422" t="s">
        <v>657</v>
      </c>
      <c r="AV118" s="420">
        <f>AW118+AX118</f>
        <v>0</v>
      </c>
      <c r="AW118" s="420">
        <f>G118*AO118</f>
        <v>0</v>
      </c>
      <c r="AX118" s="420">
        <f>G118*AP118</f>
        <v>0</v>
      </c>
      <c r="AY118" s="422" t="s">
        <v>764</v>
      </c>
      <c r="AZ118" s="422" t="s">
        <v>670</v>
      </c>
      <c r="BA118" s="408" t="s">
        <v>662</v>
      </c>
      <c r="BC118" s="420">
        <f>AW118+AX118</f>
        <v>0</v>
      </c>
      <c r="BD118" s="420">
        <f>H118/(100-BE118)*100</f>
        <v>0</v>
      </c>
      <c r="BE118" s="420">
        <v>0</v>
      </c>
      <c r="BF118" s="420">
        <f>M118</f>
        <v>1253.9328767</v>
      </c>
      <c r="BH118" s="420">
        <f>G118*AO118</f>
        <v>0</v>
      </c>
      <c r="BI118" s="420">
        <f>G118*AP118</f>
        <v>0</v>
      </c>
      <c r="BJ118" s="420">
        <f>G118*H118</f>
        <v>0</v>
      </c>
      <c r="BK118" s="420"/>
      <c r="BL118" s="420">
        <v>17</v>
      </c>
    </row>
    <row r="119" spans="1:64" ht="15" customHeight="1">
      <c r="A119" s="423"/>
      <c r="D119" s="424" t="s">
        <v>772</v>
      </c>
      <c r="E119" s="424" t="s">
        <v>654</v>
      </c>
      <c r="G119" s="425">
        <v>158.28720000000001</v>
      </c>
      <c r="N119" s="426"/>
    </row>
    <row r="120" spans="1:64" ht="15" customHeight="1">
      <c r="A120" s="423"/>
      <c r="D120" s="424" t="s">
        <v>773</v>
      </c>
      <c r="E120" s="424" t="s">
        <v>654</v>
      </c>
      <c r="G120" s="425">
        <v>-19.199310000000001</v>
      </c>
      <c r="N120" s="426"/>
    </row>
    <row r="121" spans="1:64" ht="15" customHeight="1">
      <c r="A121" s="423"/>
      <c r="D121" s="424" t="s">
        <v>774</v>
      </c>
      <c r="E121" s="424" t="s">
        <v>654</v>
      </c>
      <c r="G121" s="425">
        <v>14.520000000000001</v>
      </c>
      <c r="N121" s="426"/>
    </row>
    <row r="122" spans="1:64" ht="15" customHeight="1">
      <c r="A122" s="423"/>
      <c r="D122" s="424" t="s">
        <v>775</v>
      </c>
      <c r="E122" s="424" t="s">
        <v>654</v>
      </c>
      <c r="G122" s="425">
        <v>-0.50774000000000008</v>
      </c>
      <c r="N122" s="426"/>
    </row>
    <row r="123" spans="1:64" ht="15" customHeight="1">
      <c r="A123" s="423"/>
      <c r="D123" s="424" t="s">
        <v>1403</v>
      </c>
      <c r="E123" s="424" t="s">
        <v>654</v>
      </c>
      <c r="G123" s="425">
        <v>32.098000000000006</v>
      </c>
      <c r="N123" s="426"/>
    </row>
    <row r="124" spans="1:64" ht="15" customHeight="1">
      <c r="A124" s="423"/>
      <c r="D124" s="424" t="s">
        <v>1404</v>
      </c>
      <c r="E124" s="424" t="s">
        <v>654</v>
      </c>
      <c r="G124" s="425">
        <v>-1.1224100000000001</v>
      </c>
      <c r="N124" s="426"/>
    </row>
    <row r="125" spans="1:64" ht="15" customHeight="1">
      <c r="A125" s="423"/>
      <c r="D125" s="424" t="s">
        <v>677</v>
      </c>
      <c r="E125" s="424" t="s">
        <v>654</v>
      </c>
      <c r="G125" s="425">
        <v>0</v>
      </c>
      <c r="N125" s="426"/>
    </row>
    <row r="126" spans="1:64" ht="15" customHeight="1">
      <c r="A126" s="423"/>
      <c r="D126" s="424" t="s">
        <v>1405</v>
      </c>
      <c r="E126" s="424" t="s">
        <v>654</v>
      </c>
      <c r="G126" s="425">
        <v>34.155680000000004</v>
      </c>
      <c r="N126" s="426"/>
    </row>
    <row r="127" spans="1:64" ht="15" customHeight="1">
      <c r="A127" s="423"/>
      <c r="D127" s="424" t="s">
        <v>1406</v>
      </c>
      <c r="E127" s="424" t="s">
        <v>654</v>
      </c>
      <c r="G127" s="425">
        <v>-3.7111700000000005</v>
      </c>
      <c r="N127" s="426"/>
    </row>
    <row r="128" spans="1:64" ht="15" customHeight="1">
      <c r="A128" s="423"/>
      <c r="D128" s="424" t="s">
        <v>685</v>
      </c>
      <c r="E128" s="424" t="s">
        <v>654</v>
      </c>
      <c r="G128" s="425">
        <v>0</v>
      </c>
      <c r="N128" s="426"/>
    </row>
    <row r="129" spans="1:64" ht="15" customHeight="1">
      <c r="A129" s="423"/>
      <c r="D129" s="424" t="s">
        <v>1407</v>
      </c>
      <c r="E129" s="424" t="s">
        <v>654</v>
      </c>
      <c r="G129" s="425">
        <v>600.91045000000008</v>
      </c>
      <c r="N129" s="426"/>
    </row>
    <row r="130" spans="1:64" ht="15" customHeight="1">
      <c r="A130" s="423"/>
      <c r="D130" s="424" t="s">
        <v>705</v>
      </c>
      <c r="E130" s="424" t="s">
        <v>654</v>
      </c>
      <c r="G130" s="425">
        <v>0</v>
      </c>
      <c r="N130" s="426"/>
    </row>
    <row r="131" spans="1:64" ht="15" customHeight="1">
      <c r="A131" s="423"/>
      <c r="D131" s="424" t="s">
        <v>1408</v>
      </c>
      <c r="E131" s="424" t="s">
        <v>654</v>
      </c>
      <c r="G131" s="425">
        <v>-13.622570000000001</v>
      </c>
      <c r="N131" s="426"/>
    </row>
    <row r="132" spans="1:64" ht="15" customHeight="1">
      <c r="A132" s="423"/>
      <c r="D132" s="424" t="s">
        <v>1409</v>
      </c>
      <c r="E132" s="424" t="s">
        <v>654</v>
      </c>
      <c r="G132" s="425">
        <v>-8.818950000000001</v>
      </c>
      <c r="N132" s="426"/>
    </row>
    <row r="133" spans="1:64" ht="15" customHeight="1">
      <c r="A133" s="423"/>
      <c r="D133" s="424" t="s">
        <v>1410</v>
      </c>
      <c r="E133" s="424" t="s">
        <v>654</v>
      </c>
      <c r="G133" s="425">
        <v>-42.131170000000004</v>
      </c>
      <c r="N133" s="426"/>
    </row>
    <row r="134" spans="1:64" ht="15" customHeight="1">
      <c r="A134" s="423"/>
      <c r="D134" s="424" t="s">
        <v>776</v>
      </c>
      <c r="E134" s="424" t="s">
        <v>654</v>
      </c>
      <c r="G134" s="425">
        <v>0</v>
      </c>
      <c r="N134" s="426"/>
    </row>
    <row r="135" spans="1:64" ht="15" customHeight="1">
      <c r="A135" s="423"/>
      <c r="D135" s="424" t="s">
        <v>679</v>
      </c>
      <c r="E135" s="424" t="s">
        <v>654</v>
      </c>
      <c r="G135" s="425">
        <v>0</v>
      </c>
      <c r="N135" s="426"/>
    </row>
    <row r="136" spans="1:64" ht="15" customHeight="1">
      <c r="A136" s="401" t="s">
        <v>779</v>
      </c>
      <c r="B136" s="402" t="s">
        <v>654</v>
      </c>
      <c r="C136" s="402" t="s">
        <v>762</v>
      </c>
      <c r="D136" s="440" t="s">
        <v>778</v>
      </c>
      <c r="E136" s="440"/>
      <c r="F136" s="402" t="s">
        <v>694</v>
      </c>
      <c r="G136" s="420">
        <v>1088.7900500000001</v>
      </c>
      <c r="H136" s="420"/>
      <c r="I136" s="420">
        <f>G136*AO136</f>
        <v>0</v>
      </c>
      <c r="J136" s="420">
        <f>G136*AP136</f>
        <v>0</v>
      </c>
      <c r="K136" s="420">
        <f>G136*H136</f>
        <v>0</v>
      </c>
      <c r="L136" s="420">
        <v>0</v>
      </c>
      <c r="M136" s="420">
        <f>G136*L136</f>
        <v>0</v>
      </c>
      <c r="N136" s="421" t="s">
        <v>1358</v>
      </c>
      <c r="Z136" s="420">
        <f>IF(AQ136="5",BJ136,0)</f>
        <v>0</v>
      </c>
      <c r="AB136" s="420">
        <f>IF(AQ136="1",BH136,0)</f>
        <v>0</v>
      </c>
      <c r="AC136" s="420">
        <f>IF(AQ136="1",BI136,0)</f>
        <v>0</v>
      </c>
      <c r="AD136" s="420">
        <f>IF(AQ136="7",BH136,0)</f>
        <v>0</v>
      </c>
      <c r="AE136" s="420">
        <f>IF(AQ136="7",BI136,0)</f>
        <v>0</v>
      </c>
      <c r="AF136" s="420">
        <f>IF(AQ136="2",BH136,0)</f>
        <v>0</v>
      </c>
      <c r="AG136" s="420">
        <f>IF(AQ136="2",BI136,0)</f>
        <v>0</v>
      </c>
      <c r="AH136" s="420">
        <f>IF(AQ136="0",BJ136,0)</f>
        <v>0</v>
      </c>
      <c r="AI136" s="408" t="s">
        <v>654</v>
      </c>
      <c r="AJ136" s="420">
        <f>IF(AN136=0,K136,0)</f>
        <v>0</v>
      </c>
      <c r="AK136" s="420">
        <f>IF(AN136=15,K136,0)</f>
        <v>0</v>
      </c>
      <c r="AL136" s="420">
        <f>IF(AN136=21,K136,0)</f>
        <v>0</v>
      </c>
      <c r="AN136" s="420">
        <v>21</v>
      </c>
      <c r="AO136" s="420">
        <f>H136*0</f>
        <v>0</v>
      </c>
      <c r="AP136" s="420">
        <f>H136*(1-0)</f>
        <v>0</v>
      </c>
      <c r="AQ136" s="422" t="s">
        <v>657</v>
      </c>
      <c r="AV136" s="420">
        <f>AW136+AX136</f>
        <v>0</v>
      </c>
      <c r="AW136" s="420">
        <f>G136*AO136</f>
        <v>0</v>
      </c>
      <c r="AX136" s="420">
        <f>G136*AP136</f>
        <v>0</v>
      </c>
      <c r="AY136" s="422" t="s">
        <v>764</v>
      </c>
      <c r="AZ136" s="422" t="s">
        <v>670</v>
      </c>
      <c r="BA136" s="408" t="s">
        <v>662</v>
      </c>
      <c r="BC136" s="420">
        <f>AW136+AX136</f>
        <v>0</v>
      </c>
      <c r="BD136" s="420">
        <f>H136/(100-BE136)*100</f>
        <v>0</v>
      </c>
      <c r="BE136" s="420">
        <v>0</v>
      </c>
      <c r="BF136" s="420">
        <f>M136</f>
        <v>0</v>
      </c>
      <c r="BH136" s="420">
        <f>G136*AO136</f>
        <v>0</v>
      </c>
      <c r="BI136" s="420">
        <f>G136*AP136</f>
        <v>0</v>
      </c>
      <c r="BJ136" s="420">
        <f>G136*H136</f>
        <v>0</v>
      </c>
      <c r="BK136" s="420"/>
      <c r="BL136" s="420">
        <v>17</v>
      </c>
    </row>
    <row r="137" spans="1:64" ht="15" customHeight="1">
      <c r="A137" s="423"/>
      <c r="D137" s="424" t="s">
        <v>1411</v>
      </c>
      <c r="E137" s="424" t="s">
        <v>654</v>
      </c>
      <c r="G137" s="425">
        <v>2051.9151500000003</v>
      </c>
      <c r="N137" s="426"/>
    </row>
    <row r="138" spans="1:64" ht="15" customHeight="1">
      <c r="A138" s="423"/>
      <c r="D138" s="424" t="s">
        <v>1412</v>
      </c>
      <c r="E138" s="424" t="s">
        <v>654</v>
      </c>
      <c r="G138" s="425">
        <v>-212.26709000000002</v>
      </c>
      <c r="N138" s="426"/>
    </row>
    <row r="139" spans="1:64" ht="15" customHeight="1">
      <c r="A139" s="423"/>
      <c r="D139" s="424" t="s">
        <v>1413</v>
      </c>
      <c r="E139" s="424" t="s">
        <v>654</v>
      </c>
      <c r="G139" s="425">
        <v>-750.85801000000004</v>
      </c>
      <c r="N139" s="426"/>
    </row>
    <row r="140" spans="1:64" ht="15" customHeight="1">
      <c r="A140" s="401" t="s">
        <v>782</v>
      </c>
      <c r="B140" s="402" t="s">
        <v>654</v>
      </c>
      <c r="C140" s="402" t="s">
        <v>780</v>
      </c>
      <c r="D140" s="440" t="s">
        <v>781</v>
      </c>
      <c r="E140" s="440"/>
      <c r="F140" s="402" t="s">
        <v>694</v>
      </c>
      <c r="G140" s="420">
        <v>1103.6828</v>
      </c>
      <c r="H140" s="420"/>
      <c r="I140" s="420">
        <f>G140*AO140</f>
        <v>0</v>
      </c>
      <c r="J140" s="420">
        <f>G140*AP140</f>
        <v>0</v>
      </c>
      <c r="K140" s="420">
        <f>G140*H140</f>
        <v>0</v>
      </c>
      <c r="L140" s="420">
        <v>0</v>
      </c>
      <c r="M140" s="420">
        <f>G140*L140</f>
        <v>0</v>
      </c>
      <c r="N140" s="421" t="s">
        <v>1358</v>
      </c>
      <c r="Z140" s="420">
        <f>IF(AQ140="5",BJ140,0)</f>
        <v>0</v>
      </c>
      <c r="AB140" s="420">
        <f>IF(AQ140="1",BH140,0)</f>
        <v>0</v>
      </c>
      <c r="AC140" s="420">
        <f>IF(AQ140="1",BI140,0)</f>
        <v>0</v>
      </c>
      <c r="AD140" s="420">
        <f>IF(AQ140="7",BH140,0)</f>
        <v>0</v>
      </c>
      <c r="AE140" s="420">
        <f>IF(AQ140="7",BI140,0)</f>
        <v>0</v>
      </c>
      <c r="AF140" s="420">
        <f>IF(AQ140="2",BH140,0)</f>
        <v>0</v>
      </c>
      <c r="AG140" s="420">
        <f>IF(AQ140="2",BI140,0)</f>
        <v>0</v>
      </c>
      <c r="AH140" s="420">
        <f>IF(AQ140="0",BJ140,0)</f>
        <v>0</v>
      </c>
      <c r="AI140" s="408" t="s">
        <v>654</v>
      </c>
      <c r="AJ140" s="420">
        <f>IF(AN140=0,K140,0)</f>
        <v>0</v>
      </c>
      <c r="AK140" s="420">
        <f>IF(AN140=15,K140,0)</f>
        <v>0</v>
      </c>
      <c r="AL140" s="420">
        <f>IF(AN140=21,K140,0)</f>
        <v>0</v>
      </c>
      <c r="AN140" s="420">
        <v>21</v>
      </c>
      <c r="AO140" s="420">
        <f>H140*0</f>
        <v>0</v>
      </c>
      <c r="AP140" s="420">
        <f>H140*(1-0)</f>
        <v>0</v>
      </c>
      <c r="AQ140" s="422" t="s">
        <v>657</v>
      </c>
      <c r="AV140" s="420">
        <f>AW140+AX140</f>
        <v>0</v>
      </c>
      <c r="AW140" s="420">
        <f>G140*AO140</f>
        <v>0</v>
      </c>
      <c r="AX140" s="420">
        <f>G140*AP140</f>
        <v>0</v>
      </c>
      <c r="AY140" s="422" t="s">
        <v>764</v>
      </c>
      <c r="AZ140" s="422" t="s">
        <v>670</v>
      </c>
      <c r="BA140" s="408" t="s">
        <v>662</v>
      </c>
      <c r="BC140" s="420">
        <f>AW140+AX140</f>
        <v>0</v>
      </c>
      <c r="BD140" s="420">
        <f>H140/(100-BE140)*100</f>
        <v>0</v>
      </c>
      <c r="BE140" s="420">
        <v>0</v>
      </c>
      <c r="BF140" s="420">
        <f>M140</f>
        <v>0</v>
      </c>
      <c r="BH140" s="420">
        <f>G140*AO140</f>
        <v>0</v>
      </c>
      <c r="BI140" s="420">
        <f>G140*AP140</f>
        <v>0</v>
      </c>
      <c r="BJ140" s="420">
        <f>G140*H140</f>
        <v>0</v>
      </c>
      <c r="BK140" s="420"/>
      <c r="BL140" s="420">
        <v>17</v>
      </c>
    </row>
    <row r="141" spans="1:64" ht="15" customHeight="1">
      <c r="A141" s="423"/>
      <c r="D141" s="424" t="s">
        <v>1398</v>
      </c>
      <c r="E141" s="424" t="s">
        <v>654</v>
      </c>
      <c r="G141" s="425">
        <v>1103.6828</v>
      </c>
      <c r="N141" s="426"/>
    </row>
    <row r="142" spans="1:64" ht="15" customHeight="1">
      <c r="A142" s="401" t="s">
        <v>784</v>
      </c>
      <c r="B142" s="402" t="s">
        <v>654</v>
      </c>
      <c r="C142" s="402" t="s">
        <v>780</v>
      </c>
      <c r="D142" s="440" t="s">
        <v>783</v>
      </c>
      <c r="E142" s="440"/>
      <c r="F142" s="402" t="s">
        <v>694</v>
      </c>
      <c r="G142" s="420">
        <v>1053.26955</v>
      </c>
      <c r="H142" s="420"/>
      <c r="I142" s="420">
        <f>G142*AO142</f>
        <v>0</v>
      </c>
      <c r="J142" s="420">
        <f>G142*AP142</f>
        <v>0</v>
      </c>
      <c r="K142" s="420">
        <f>G142*H142</f>
        <v>0</v>
      </c>
      <c r="L142" s="420">
        <v>0</v>
      </c>
      <c r="M142" s="420">
        <f>G142*L142</f>
        <v>0</v>
      </c>
      <c r="N142" s="421" t="s">
        <v>1358</v>
      </c>
      <c r="Z142" s="420">
        <f>IF(AQ142="5",BJ142,0)</f>
        <v>0</v>
      </c>
      <c r="AB142" s="420">
        <f>IF(AQ142="1",BH142,0)</f>
        <v>0</v>
      </c>
      <c r="AC142" s="420">
        <f>IF(AQ142="1",BI142,0)</f>
        <v>0</v>
      </c>
      <c r="AD142" s="420">
        <f>IF(AQ142="7",BH142,0)</f>
        <v>0</v>
      </c>
      <c r="AE142" s="420">
        <f>IF(AQ142="7",BI142,0)</f>
        <v>0</v>
      </c>
      <c r="AF142" s="420">
        <f>IF(AQ142="2",BH142,0)</f>
        <v>0</v>
      </c>
      <c r="AG142" s="420">
        <f>IF(AQ142="2",BI142,0)</f>
        <v>0</v>
      </c>
      <c r="AH142" s="420">
        <f>IF(AQ142="0",BJ142,0)</f>
        <v>0</v>
      </c>
      <c r="AI142" s="408" t="s">
        <v>654</v>
      </c>
      <c r="AJ142" s="420">
        <f>IF(AN142=0,K142,0)</f>
        <v>0</v>
      </c>
      <c r="AK142" s="420">
        <f>IF(AN142=15,K142,0)</f>
        <v>0</v>
      </c>
      <c r="AL142" s="420">
        <f>IF(AN142=21,K142,0)</f>
        <v>0</v>
      </c>
      <c r="AN142" s="420">
        <v>21</v>
      </c>
      <c r="AO142" s="420">
        <f>H142*0</f>
        <v>0</v>
      </c>
      <c r="AP142" s="420">
        <f>H142*(1-0)</f>
        <v>0</v>
      </c>
      <c r="AQ142" s="422" t="s">
        <v>657</v>
      </c>
      <c r="AV142" s="420">
        <f>AW142+AX142</f>
        <v>0</v>
      </c>
      <c r="AW142" s="420">
        <f>G142*AO142</f>
        <v>0</v>
      </c>
      <c r="AX142" s="420">
        <f>G142*AP142</f>
        <v>0</v>
      </c>
      <c r="AY142" s="422" t="s">
        <v>764</v>
      </c>
      <c r="AZ142" s="422" t="s">
        <v>670</v>
      </c>
      <c r="BA142" s="408" t="s">
        <v>662</v>
      </c>
      <c r="BC142" s="420">
        <f>AW142+AX142</f>
        <v>0</v>
      </c>
      <c r="BD142" s="420">
        <f>H142/(100-BE142)*100</f>
        <v>0</v>
      </c>
      <c r="BE142" s="420">
        <v>0</v>
      </c>
      <c r="BF142" s="420">
        <f>M142</f>
        <v>0</v>
      </c>
      <c r="BH142" s="420">
        <f>G142*AO142</f>
        <v>0</v>
      </c>
      <c r="BI142" s="420">
        <f>G142*AP142</f>
        <v>0</v>
      </c>
      <c r="BJ142" s="420">
        <f>G142*H142</f>
        <v>0</v>
      </c>
      <c r="BK142" s="420"/>
      <c r="BL142" s="420">
        <v>17</v>
      </c>
    </row>
    <row r="143" spans="1:64" ht="15" customHeight="1">
      <c r="A143" s="423"/>
      <c r="D143" s="424" t="s">
        <v>1401</v>
      </c>
      <c r="E143" s="424" t="s">
        <v>654</v>
      </c>
      <c r="G143" s="425">
        <v>1053.26955</v>
      </c>
      <c r="N143" s="426"/>
    </row>
    <row r="144" spans="1:64" ht="15" customHeight="1">
      <c r="A144" s="401" t="s">
        <v>788</v>
      </c>
      <c r="B144" s="402" t="s">
        <v>654</v>
      </c>
      <c r="C144" s="402" t="s">
        <v>785</v>
      </c>
      <c r="D144" s="440" t="s">
        <v>786</v>
      </c>
      <c r="E144" s="440"/>
      <c r="F144" s="402" t="s">
        <v>694</v>
      </c>
      <c r="G144" s="420">
        <v>1053.26955</v>
      </c>
      <c r="H144" s="420"/>
      <c r="I144" s="420">
        <f>G144*AO144</f>
        <v>0</v>
      </c>
      <c r="J144" s="420">
        <f>G144*AP144</f>
        <v>0</v>
      </c>
      <c r="K144" s="420">
        <f>G144*H144</f>
        <v>0</v>
      </c>
      <c r="L144" s="420">
        <v>0</v>
      </c>
      <c r="M144" s="420">
        <f>G144*L144</f>
        <v>0</v>
      </c>
      <c r="N144" s="421" t="s">
        <v>1358</v>
      </c>
      <c r="Z144" s="420">
        <f>IF(AQ144="5",BJ144,0)</f>
        <v>0</v>
      </c>
      <c r="AB144" s="420">
        <f>IF(AQ144="1",BH144,0)</f>
        <v>0</v>
      </c>
      <c r="AC144" s="420">
        <f>IF(AQ144="1",BI144,0)</f>
        <v>0</v>
      </c>
      <c r="AD144" s="420">
        <f>IF(AQ144="7",BH144,0)</f>
        <v>0</v>
      </c>
      <c r="AE144" s="420">
        <f>IF(AQ144="7",BI144,0)</f>
        <v>0</v>
      </c>
      <c r="AF144" s="420">
        <f>IF(AQ144="2",BH144,0)</f>
        <v>0</v>
      </c>
      <c r="AG144" s="420">
        <f>IF(AQ144="2",BI144,0)</f>
        <v>0</v>
      </c>
      <c r="AH144" s="420">
        <f>IF(AQ144="0",BJ144,0)</f>
        <v>0</v>
      </c>
      <c r="AI144" s="408" t="s">
        <v>654</v>
      </c>
      <c r="AJ144" s="420">
        <f>IF(AN144=0,K144,0)</f>
        <v>0</v>
      </c>
      <c r="AK144" s="420">
        <f>IF(AN144=15,K144,0)</f>
        <v>0</v>
      </c>
      <c r="AL144" s="420">
        <f>IF(AN144=21,K144,0)</f>
        <v>0</v>
      </c>
      <c r="AN144" s="420">
        <v>21</v>
      </c>
      <c r="AO144" s="420">
        <f>H144*0</f>
        <v>0</v>
      </c>
      <c r="AP144" s="420">
        <f>H144*(1-0)</f>
        <v>0</v>
      </c>
      <c r="AQ144" s="422" t="s">
        <v>657</v>
      </c>
      <c r="AV144" s="420">
        <f>AW144+AX144</f>
        <v>0</v>
      </c>
      <c r="AW144" s="420">
        <f>G144*AO144</f>
        <v>0</v>
      </c>
      <c r="AX144" s="420">
        <f>G144*AP144</f>
        <v>0</v>
      </c>
      <c r="AY144" s="422" t="s">
        <v>764</v>
      </c>
      <c r="AZ144" s="422" t="s">
        <v>670</v>
      </c>
      <c r="BA144" s="408" t="s">
        <v>662</v>
      </c>
      <c r="BC144" s="420">
        <f>AW144+AX144</f>
        <v>0</v>
      </c>
      <c r="BD144" s="420">
        <f>H144/(100-BE144)*100</f>
        <v>0</v>
      </c>
      <c r="BE144" s="420">
        <v>0</v>
      </c>
      <c r="BF144" s="420">
        <f>M144</f>
        <v>0</v>
      </c>
      <c r="BH144" s="420">
        <f>G144*AO144</f>
        <v>0</v>
      </c>
      <c r="BI144" s="420">
        <f>G144*AP144</f>
        <v>0</v>
      </c>
      <c r="BJ144" s="420">
        <f>G144*H144</f>
        <v>0</v>
      </c>
      <c r="BK144" s="420"/>
      <c r="BL144" s="420">
        <v>17</v>
      </c>
    </row>
    <row r="145" spans="1:64" ht="15" customHeight="1">
      <c r="A145" s="423"/>
      <c r="D145" s="424" t="s">
        <v>1414</v>
      </c>
      <c r="E145" s="424" t="s">
        <v>654</v>
      </c>
      <c r="G145" s="425">
        <v>1053.26955</v>
      </c>
      <c r="N145" s="426"/>
    </row>
    <row r="146" spans="1:64" ht="15" customHeight="1">
      <c r="A146" s="416" t="s">
        <v>654</v>
      </c>
      <c r="B146" s="417" t="s">
        <v>654</v>
      </c>
      <c r="C146" s="417" t="s">
        <v>731</v>
      </c>
      <c r="D146" s="455" t="s">
        <v>1415</v>
      </c>
      <c r="E146" s="455"/>
      <c r="F146" s="418" t="s">
        <v>608</v>
      </c>
      <c r="G146" s="418" t="s">
        <v>608</v>
      </c>
      <c r="H146" s="418"/>
      <c r="I146" s="400">
        <f>SUM(I147:I149)</f>
        <v>0</v>
      </c>
      <c r="J146" s="400">
        <f>SUM(J147:J149)</f>
        <v>0</v>
      </c>
      <c r="K146" s="400">
        <f>SUM(K147:K149)</f>
        <v>0</v>
      </c>
      <c r="L146" s="408" t="s">
        <v>654</v>
      </c>
      <c r="M146" s="400">
        <f>SUM(M147:M149)</f>
        <v>0.56400000000000006</v>
      </c>
      <c r="N146" s="419" t="s">
        <v>654</v>
      </c>
      <c r="AI146" s="408" t="s">
        <v>654</v>
      </c>
      <c r="AS146" s="400">
        <f>SUM(AJ147:AJ149)</f>
        <v>0</v>
      </c>
      <c r="AT146" s="400">
        <f>SUM(AK147:AK149)</f>
        <v>0</v>
      </c>
      <c r="AU146" s="400">
        <f>SUM(AL147:AL149)</f>
        <v>0</v>
      </c>
    </row>
    <row r="147" spans="1:64" ht="15" customHeight="1">
      <c r="A147" s="401" t="s">
        <v>794</v>
      </c>
      <c r="B147" s="402" t="s">
        <v>654</v>
      </c>
      <c r="C147" s="402" t="s">
        <v>1416</v>
      </c>
      <c r="D147" s="440" t="s">
        <v>1417</v>
      </c>
      <c r="E147" s="440"/>
      <c r="F147" s="402" t="s">
        <v>40</v>
      </c>
      <c r="G147" s="420">
        <v>60</v>
      </c>
      <c r="H147" s="420"/>
      <c r="I147" s="420">
        <f>G147*AO147</f>
        <v>0</v>
      </c>
      <c r="J147" s="420">
        <f>G147*AP147</f>
        <v>0</v>
      </c>
      <c r="K147" s="420">
        <f>G147*H147</f>
        <v>0</v>
      </c>
      <c r="L147" s="420">
        <v>9.4000000000000004E-3</v>
      </c>
      <c r="M147" s="420">
        <f>G147*L147</f>
        <v>0.56400000000000006</v>
      </c>
      <c r="N147" s="421" t="s">
        <v>1358</v>
      </c>
      <c r="Z147" s="420">
        <f>IF(AQ147="5",BJ147,0)</f>
        <v>0</v>
      </c>
      <c r="AB147" s="420">
        <f>IF(AQ147="1",BH147,0)</f>
        <v>0</v>
      </c>
      <c r="AC147" s="420">
        <f>IF(AQ147="1",BI147,0)</f>
        <v>0</v>
      </c>
      <c r="AD147" s="420">
        <f>IF(AQ147="7",BH147,0)</f>
        <v>0</v>
      </c>
      <c r="AE147" s="420">
        <f>IF(AQ147="7",BI147,0)</f>
        <v>0</v>
      </c>
      <c r="AF147" s="420">
        <f>IF(AQ147="2",BH147,0)</f>
        <v>0</v>
      </c>
      <c r="AG147" s="420">
        <f>IF(AQ147="2",BI147,0)</f>
        <v>0</v>
      </c>
      <c r="AH147" s="420">
        <f>IF(AQ147="0",BJ147,0)</f>
        <v>0</v>
      </c>
      <c r="AI147" s="408" t="s">
        <v>654</v>
      </c>
      <c r="AJ147" s="420">
        <f>IF(AN147=0,K147,0)</f>
        <v>0</v>
      </c>
      <c r="AK147" s="420">
        <f>IF(AN147=15,K147,0)</f>
        <v>0</v>
      </c>
      <c r="AL147" s="420">
        <f>IF(AN147=21,K147,0)</f>
        <v>0</v>
      </c>
      <c r="AN147" s="420">
        <v>21</v>
      </c>
      <c r="AO147" s="420">
        <f>H147*0.208796659253452</f>
        <v>0</v>
      </c>
      <c r="AP147" s="420">
        <f>H147*(1-0.208796659253452)</f>
        <v>0</v>
      </c>
      <c r="AQ147" s="422" t="s">
        <v>657</v>
      </c>
      <c r="AV147" s="420">
        <f>AW147+AX147</f>
        <v>0</v>
      </c>
      <c r="AW147" s="420">
        <f>G147*AO147</f>
        <v>0</v>
      </c>
      <c r="AX147" s="420">
        <f>G147*AP147</f>
        <v>0</v>
      </c>
      <c r="AY147" s="422" t="s">
        <v>1418</v>
      </c>
      <c r="AZ147" s="422" t="s">
        <v>670</v>
      </c>
      <c r="BA147" s="408" t="s">
        <v>662</v>
      </c>
      <c r="BC147" s="420">
        <f>AW147+AX147</f>
        <v>0</v>
      </c>
      <c r="BD147" s="420">
        <f>H147/(100-BE147)*100</f>
        <v>0</v>
      </c>
      <c r="BE147" s="420">
        <v>0</v>
      </c>
      <c r="BF147" s="420">
        <f>M147</f>
        <v>0.56400000000000006</v>
      </c>
      <c r="BH147" s="420">
        <f>G147*AO147</f>
        <v>0</v>
      </c>
      <c r="BI147" s="420">
        <f>G147*AP147</f>
        <v>0</v>
      </c>
      <c r="BJ147" s="420">
        <f>G147*H147</f>
        <v>0</v>
      </c>
      <c r="BK147" s="420"/>
      <c r="BL147" s="420">
        <v>18</v>
      </c>
    </row>
    <row r="148" spans="1:64" ht="15" customHeight="1">
      <c r="A148" s="423"/>
      <c r="D148" s="424" t="s">
        <v>1419</v>
      </c>
      <c r="E148" s="424" t="s">
        <v>654</v>
      </c>
      <c r="G148" s="425">
        <v>60.000000000000007</v>
      </c>
      <c r="N148" s="426"/>
    </row>
    <row r="149" spans="1:64" ht="15" customHeight="1">
      <c r="A149" s="401" t="s">
        <v>799</v>
      </c>
      <c r="B149" s="402" t="s">
        <v>654</v>
      </c>
      <c r="C149" s="402" t="s">
        <v>1420</v>
      </c>
      <c r="D149" s="440" t="s">
        <v>1421</v>
      </c>
      <c r="E149" s="440"/>
      <c r="F149" s="402" t="s">
        <v>40</v>
      </c>
      <c r="G149" s="420">
        <v>60</v>
      </c>
      <c r="H149" s="420"/>
      <c r="I149" s="420">
        <f>G149*AO149</f>
        <v>0</v>
      </c>
      <c r="J149" s="420">
        <f>G149*AP149</f>
        <v>0</v>
      </c>
      <c r="K149" s="420">
        <f>G149*H149</f>
        <v>0</v>
      </c>
      <c r="L149" s="420">
        <v>0</v>
      </c>
      <c r="M149" s="420">
        <f>G149*L149</f>
        <v>0</v>
      </c>
      <c r="N149" s="421" t="s">
        <v>1358</v>
      </c>
      <c r="Z149" s="420">
        <f>IF(AQ149="5",BJ149,0)</f>
        <v>0</v>
      </c>
      <c r="AB149" s="420">
        <f>IF(AQ149="1",BH149,0)</f>
        <v>0</v>
      </c>
      <c r="AC149" s="420">
        <f>IF(AQ149="1",BI149,0)</f>
        <v>0</v>
      </c>
      <c r="AD149" s="420">
        <f>IF(AQ149="7",BH149,0)</f>
        <v>0</v>
      </c>
      <c r="AE149" s="420">
        <f>IF(AQ149="7",BI149,0)</f>
        <v>0</v>
      </c>
      <c r="AF149" s="420">
        <f>IF(AQ149="2",BH149,0)</f>
        <v>0</v>
      </c>
      <c r="AG149" s="420">
        <f>IF(AQ149="2",BI149,0)</f>
        <v>0</v>
      </c>
      <c r="AH149" s="420">
        <f>IF(AQ149="0",BJ149,0)</f>
        <v>0</v>
      </c>
      <c r="AI149" s="408" t="s">
        <v>654</v>
      </c>
      <c r="AJ149" s="420">
        <f>IF(AN149=0,K149,0)</f>
        <v>0</v>
      </c>
      <c r="AK149" s="420">
        <f>IF(AN149=15,K149,0)</f>
        <v>0</v>
      </c>
      <c r="AL149" s="420">
        <f>IF(AN149=21,K149,0)</f>
        <v>0</v>
      </c>
      <c r="AN149" s="420">
        <v>21</v>
      </c>
      <c r="AO149" s="420">
        <f>H149*0</f>
        <v>0</v>
      </c>
      <c r="AP149" s="420">
        <f>H149*(1-0)</f>
        <v>0</v>
      </c>
      <c r="AQ149" s="422" t="s">
        <v>657</v>
      </c>
      <c r="AV149" s="420">
        <f>AW149+AX149</f>
        <v>0</v>
      </c>
      <c r="AW149" s="420">
        <f>G149*AO149</f>
        <v>0</v>
      </c>
      <c r="AX149" s="420">
        <f>G149*AP149</f>
        <v>0</v>
      </c>
      <c r="AY149" s="422" t="s">
        <v>1418</v>
      </c>
      <c r="AZ149" s="422" t="s">
        <v>670</v>
      </c>
      <c r="BA149" s="408" t="s">
        <v>662</v>
      </c>
      <c r="BC149" s="420">
        <f>AW149+AX149</f>
        <v>0</v>
      </c>
      <c r="BD149" s="420">
        <f>H149/(100-BE149)*100</f>
        <v>0</v>
      </c>
      <c r="BE149" s="420">
        <v>0</v>
      </c>
      <c r="BF149" s="420">
        <f>M149</f>
        <v>0</v>
      </c>
      <c r="BH149" s="420">
        <f>G149*AO149</f>
        <v>0</v>
      </c>
      <c r="BI149" s="420">
        <f>G149*AP149</f>
        <v>0</v>
      </c>
      <c r="BJ149" s="420">
        <f>G149*H149</f>
        <v>0</v>
      </c>
      <c r="BK149" s="420"/>
      <c r="BL149" s="420">
        <v>18</v>
      </c>
    </row>
    <row r="150" spans="1:64" ht="15" customHeight="1">
      <c r="A150" s="423"/>
      <c r="D150" s="424" t="s">
        <v>1422</v>
      </c>
      <c r="E150" s="424" t="s">
        <v>654</v>
      </c>
      <c r="G150" s="425">
        <v>60.000000000000007</v>
      </c>
      <c r="N150" s="426"/>
    </row>
    <row r="151" spans="1:64" ht="15" customHeight="1">
      <c r="A151" s="416" t="s">
        <v>654</v>
      </c>
      <c r="B151" s="417" t="s">
        <v>654</v>
      </c>
      <c r="C151" s="417" t="s">
        <v>743</v>
      </c>
      <c r="D151" s="455" t="s">
        <v>787</v>
      </c>
      <c r="E151" s="455"/>
      <c r="F151" s="418" t="s">
        <v>608</v>
      </c>
      <c r="G151" s="418" t="s">
        <v>608</v>
      </c>
      <c r="H151" s="418"/>
      <c r="I151" s="400">
        <f>SUM(I152:I152)</f>
        <v>0</v>
      </c>
      <c r="J151" s="400">
        <f>SUM(J152:J152)</f>
        <v>0</v>
      </c>
      <c r="K151" s="400">
        <f>SUM(K152:K152)</f>
        <v>0</v>
      </c>
      <c r="L151" s="408" t="s">
        <v>654</v>
      </c>
      <c r="M151" s="400">
        <f>SUM(M152:M152)</f>
        <v>169.74761760000001</v>
      </c>
      <c r="N151" s="419" t="s">
        <v>654</v>
      </c>
      <c r="AI151" s="408" t="s">
        <v>654</v>
      </c>
      <c r="AS151" s="400">
        <f>SUM(AJ152:AJ152)</f>
        <v>0</v>
      </c>
      <c r="AT151" s="400">
        <f>SUM(AK152:AK152)</f>
        <v>0</v>
      </c>
      <c r="AU151" s="400">
        <f>SUM(AL152:AL152)</f>
        <v>0</v>
      </c>
    </row>
    <row r="152" spans="1:64" ht="15" customHeight="1">
      <c r="A152" s="401" t="s">
        <v>803</v>
      </c>
      <c r="B152" s="402" t="s">
        <v>654</v>
      </c>
      <c r="C152" s="402" t="s">
        <v>789</v>
      </c>
      <c r="D152" s="440" t="s">
        <v>790</v>
      </c>
      <c r="E152" s="440"/>
      <c r="F152" s="402" t="s">
        <v>694</v>
      </c>
      <c r="G152" s="420">
        <v>88.387200000000007</v>
      </c>
      <c r="H152" s="420"/>
      <c r="I152" s="420">
        <f>G152*AO152</f>
        <v>0</v>
      </c>
      <c r="J152" s="420">
        <f>G152*AP152</f>
        <v>0</v>
      </c>
      <c r="K152" s="420">
        <f>G152*H152</f>
        <v>0</v>
      </c>
      <c r="L152" s="420">
        <v>1.9205000000000001</v>
      </c>
      <c r="M152" s="420">
        <f>G152*L152</f>
        <v>169.74761760000001</v>
      </c>
      <c r="N152" s="421" t="s">
        <v>1358</v>
      </c>
      <c r="Z152" s="420">
        <f>IF(AQ152="5",BJ152,0)</f>
        <v>0</v>
      </c>
      <c r="AB152" s="420">
        <f>IF(AQ152="1",BH152,0)</f>
        <v>0</v>
      </c>
      <c r="AC152" s="420">
        <f>IF(AQ152="1",BI152,0)</f>
        <v>0</v>
      </c>
      <c r="AD152" s="420">
        <f>IF(AQ152="7",BH152,0)</f>
        <v>0</v>
      </c>
      <c r="AE152" s="420">
        <f>IF(AQ152="7",BI152,0)</f>
        <v>0</v>
      </c>
      <c r="AF152" s="420">
        <f>IF(AQ152="2",BH152,0)</f>
        <v>0</v>
      </c>
      <c r="AG152" s="420">
        <f>IF(AQ152="2",BI152,0)</f>
        <v>0</v>
      </c>
      <c r="AH152" s="420">
        <f>IF(AQ152="0",BJ152,0)</f>
        <v>0</v>
      </c>
      <c r="AI152" s="408" t="s">
        <v>654</v>
      </c>
      <c r="AJ152" s="420">
        <f>IF(AN152=0,K152,0)</f>
        <v>0</v>
      </c>
      <c r="AK152" s="420">
        <f>IF(AN152=15,K152,0)</f>
        <v>0</v>
      </c>
      <c r="AL152" s="420">
        <f>IF(AN152=21,K152,0)</f>
        <v>0</v>
      </c>
      <c r="AN152" s="420">
        <v>21</v>
      </c>
      <c r="AO152" s="420">
        <f>H152*0.557458200308028</f>
        <v>0</v>
      </c>
      <c r="AP152" s="420">
        <f>H152*(1-0.557458200308028)</f>
        <v>0</v>
      </c>
      <c r="AQ152" s="422" t="s">
        <v>657</v>
      </c>
      <c r="AV152" s="420">
        <f>AW152+AX152</f>
        <v>0</v>
      </c>
      <c r="AW152" s="420">
        <f>G152*AO152</f>
        <v>0</v>
      </c>
      <c r="AX152" s="420">
        <f>G152*AP152</f>
        <v>0</v>
      </c>
      <c r="AY152" s="422" t="s">
        <v>791</v>
      </c>
      <c r="AZ152" s="422" t="s">
        <v>792</v>
      </c>
      <c r="BA152" s="408" t="s">
        <v>662</v>
      </c>
      <c r="BC152" s="420">
        <f>AW152+AX152</f>
        <v>0</v>
      </c>
      <c r="BD152" s="420">
        <f>H152/(100-BE152)*100</f>
        <v>0</v>
      </c>
      <c r="BE152" s="420">
        <v>0</v>
      </c>
      <c r="BF152" s="420">
        <f>M152</f>
        <v>169.74761760000001</v>
      </c>
      <c r="BH152" s="420">
        <f>G152*AO152</f>
        <v>0</v>
      </c>
      <c r="BI152" s="420">
        <f>G152*AP152</f>
        <v>0</v>
      </c>
      <c r="BJ152" s="420">
        <f>G152*H152</f>
        <v>0</v>
      </c>
      <c r="BK152" s="420"/>
      <c r="BL152" s="420">
        <v>21</v>
      </c>
    </row>
    <row r="153" spans="1:64" ht="15" customHeight="1">
      <c r="A153" s="423"/>
      <c r="D153" s="424" t="s">
        <v>1423</v>
      </c>
      <c r="E153" s="424" t="s">
        <v>654</v>
      </c>
      <c r="G153" s="425">
        <v>88.387200000000007</v>
      </c>
      <c r="N153" s="426"/>
    </row>
    <row r="154" spans="1:64" ht="15" customHeight="1">
      <c r="A154" s="416" t="s">
        <v>654</v>
      </c>
      <c r="B154" s="417" t="s">
        <v>654</v>
      </c>
      <c r="C154" s="417" t="s">
        <v>761</v>
      </c>
      <c r="D154" s="455" t="s">
        <v>793</v>
      </c>
      <c r="E154" s="455"/>
      <c r="F154" s="418" t="s">
        <v>608</v>
      </c>
      <c r="G154" s="418" t="s">
        <v>608</v>
      </c>
      <c r="H154" s="418"/>
      <c r="I154" s="400">
        <f>SUM(I155:I159)</f>
        <v>0</v>
      </c>
      <c r="J154" s="400">
        <f>SUM(J155:J159)</f>
        <v>0</v>
      </c>
      <c r="K154" s="400">
        <f>SUM(K155:K159)</f>
        <v>0</v>
      </c>
      <c r="L154" s="408" t="s">
        <v>654</v>
      </c>
      <c r="M154" s="400">
        <f>SUM(M155:M159)</f>
        <v>0.29582249999999999</v>
      </c>
      <c r="N154" s="419" t="s">
        <v>654</v>
      </c>
      <c r="AI154" s="408" t="s">
        <v>654</v>
      </c>
      <c r="AS154" s="400">
        <f>SUM(AJ155:AJ159)</f>
        <v>0</v>
      </c>
      <c r="AT154" s="400">
        <f>SUM(AK155:AK159)</f>
        <v>0</v>
      </c>
      <c r="AU154" s="400">
        <f>SUM(AL155:AL159)</f>
        <v>0</v>
      </c>
    </row>
    <row r="155" spans="1:64" ht="15" customHeight="1">
      <c r="A155" s="401" t="s">
        <v>809</v>
      </c>
      <c r="B155" s="402" t="s">
        <v>654</v>
      </c>
      <c r="C155" s="402" t="s">
        <v>795</v>
      </c>
      <c r="D155" s="440" t="s">
        <v>796</v>
      </c>
      <c r="E155" s="440"/>
      <c r="F155" s="402" t="s">
        <v>694</v>
      </c>
      <c r="G155" s="420">
        <v>0.1125</v>
      </c>
      <c r="H155" s="420"/>
      <c r="I155" s="420">
        <f>G155*AO155</f>
        <v>0</v>
      </c>
      <c r="J155" s="420">
        <f>G155*AP155</f>
        <v>0</v>
      </c>
      <c r="K155" s="420">
        <f>G155*H155</f>
        <v>0</v>
      </c>
      <c r="L155" s="420">
        <v>2.5249999999999999</v>
      </c>
      <c r="M155" s="420">
        <f>G155*L155</f>
        <v>0.2840625</v>
      </c>
      <c r="N155" s="421" t="s">
        <v>1358</v>
      </c>
      <c r="Z155" s="420">
        <f>IF(AQ155="5",BJ155,0)</f>
        <v>0</v>
      </c>
      <c r="AB155" s="420">
        <f>IF(AQ155="1",BH155,0)</f>
        <v>0</v>
      </c>
      <c r="AC155" s="420">
        <f>IF(AQ155="1",BI155,0)</f>
        <v>0</v>
      </c>
      <c r="AD155" s="420">
        <f>IF(AQ155="7",BH155,0)</f>
        <v>0</v>
      </c>
      <c r="AE155" s="420">
        <f>IF(AQ155="7",BI155,0)</f>
        <v>0</v>
      </c>
      <c r="AF155" s="420">
        <f>IF(AQ155="2",BH155,0)</f>
        <v>0</v>
      </c>
      <c r="AG155" s="420">
        <f>IF(AQ155="2",BI155,0)</f>
        <v>0</v>
      </c>
      <c r="AH155" s="420">
        <f>IF(AQ155="0",BJ155,0)</f>
        <v>0</v>
      </c>
      <c r="AI155" s="408" t="s">
        <v>654</v>
      </c>
      <c r="AJ155" s="420">
        <f>IF(AN155=0,K155,0)</f>
        <v>0</v>
      </c>
      <c r="AK155" s="420">
        <f>IF(AN155=15,K155,0)</f>
        <v>0</v>
      </c>
      <c r="AL155" s="420">
        <f>IF(AN155=21,K155,0)</f>
        <v>0</v>
      </c>
      <c r="AN155" s="420">
        <v>21</v>
      </c>
      <c r="AO155" s="420">
        <f>H155*0.896570023761129</f>
        <v>0</v>
      </c>
      <c r="AP155" s="420">
        <f>H155*(1-0.896570023761129)</f>
        <v>0</v>
      </c>
      <c r="AQ155" s="422" t="s">
        <v>657</v>
      </c>
      <c r="AV155" s="420">
        <f>AW155+AX155</f>
        <v>0</v>
      </c>
      <c r="AW155" s="420">
        <f>G155*AO155</f>
        <v>0</v>
      </c>
      <c r="AX155" s="420">
        <f>G155*AP155</f>
        <v>0</v>
      </c>
      <c r="AY155" s="422" t="s">
        <v>797</v>
      </c>
      <c r="AZ155" s="422" t="s">
        <v>792</v>
      </c>
      <c r="BA155" s="408" t="s">
        <v>662</v>
      </c>
      <c r="BC155" s="420">
        <f>AW155+AX155</f>
        <v>0</v>
      </c>
      <c r="BD155" s="420">
        <f>H155/(100-BE155)*100</f>
        <v>0</v>
      </c>
      <c r="BE155" s="420">
        <v>0</v>
      </c>
      <c r="BF155" s="420">
        <f>M155</f>
        <v>0.2840625</v>
      </c>
      <c r="BH155" s="420">
        <f>G155*AO155</f>
        <v>0</v>
      </c>
      <c r="BI155" s="420">
        <f>G155*AP155</f>
        <v>0</v>
      </c>
      <c r="BJ155" s="420">
        <f>G155*H155</f>
        <v>0</v>
      </c>
      <c r="BK155" s="420"/>
      <c r="BL155" s="420">
        <v>27</v>
      </c>
    </row>
    <row r="156" spans="1:64" ht="15" customHeight="1">
      <c r="A156" s="423"/>
      <c r="D156" s="424" t="s">
        <v>798</v>
      </c>
      <c r="E156" s="424" t="s">
        <v>654</v>
      </c>
      <c r="G156" s="425">
        <v>0.1125</v>
      </c>
      <c r="N156" s="426"/>
    </row>
    <row r="157" spans="1:64" ht="15" customHeight="1">
      <c r="A157" s="401" t="s">
        <v>819</v>
      </c>
      <c r="B157" s="402" t="s">
        <v>654</v>
      </c>
      <c r="C157" s="402" t="s">
        <v>800</v>
      </c>
      <c r="D157" s="440" t="s">
        <v>801</v>
      </c>
      <c r="E157" s="440"/>
      <c r="F157" s="402" t="s">
        <v>40</v>
      </c>
      <c r="G157" s="420">
        <v>0.3</v>
      </c>
      <c r="H157" s="420"/>
      <c r="I157" s="420">
        <f>G157*AO157</f>
        <v>0</v>
      </c>
      <c r="J157" s="420">
        <f>G157*AP157</f>
        <v>0</v>
      </c>
      <c r="K157" s="420">
        <f>G157*H157</f>
        <v>0</v>
      </c>
      <c r="L157" s="420">
        <v>3.9199999999999999E-2</v>
      </c>
      <c r="M157" s="420">
        <f>G157*L157</f>
        <v>1.176E-2</v>
      </c>
      <c r="N157" s="421" t="s">
        <v>1358</v>
      </c>
      <c r="Z157" s="420">
        <f>IF(AQ157="5",BJ157,0)</f>
        <v>0</v>
      </c>
      <c r="AB157" s="420">
        <f>IF(AQ157="1",BH157,0)</f>
        <v>0</v>
      </c>
      <c r="AC157" s="420">
        <f>IF(AQ157="1",BI157,0)</f>
        <v>0</v>
      </c>
      <c r="AD157" s="420">
        <f>IF(AQ157="7",BH157,0)</f>
        <v>0</v>
      </c>
      <c r="AE157" s="420">
        <f>IF(AQ157="7",BI157,0)</f>
        <v>0</v>
      </c>
      <c r="AF157" s="420">
        <f>IF(AQ157="2",BH157,0)</f>
        <v>0</v>
      </c>
      <c r="AG157" s="420">
        <f>IF(AQ157="2",BI157,0)</f>
        <v>0</v>
      </c>
      <c r="AH157" s="420">
        <f>IF(AQ157="0",BJ157,0)</f>
        <v>0</v>
      </c>
      <c r="AI157" s="408" t="s">
        <v>654</v>
      </c>
      <c r="AJ157" s="420">
        <f>IF(AN157=0,K157,0)</f>
        <v>0</v>
      </c>
      <c r="AK157" s="420">
        <f>IF(AN157=15,K157,0)</f>
        <v>0</v>
      </c>
      <c r="AL157" s="420">
        <f>IF(AN157=21,K157,0)</f>
        <v>0</v>
      </c>
      <c r="AN157" s="420">
        <v>21</v>
      </c>
      <c r="AO157" s="420">
        <f>H157*0.256722338204593</f>
        <v>0</v>
      </c>
      <c r="AP157" s="420">
        <f>H157*(1-0.256722338204593)</f>
        <v>0</v>
      </c>
      <c r="AQ157" s="422" t="s">
        <v>657</v>
      </c>
      <c r="AV157" s="420">
        <f>AW157+AX157</f>
        <v>0</v>
      </c>
      <c r="AW157" s="420">
        <f>G157*AO157</f>
        <v>0</v>
      </c>
      <c r="AX157" s="420">
        <f>G157*AP157</f>
        <v>0</v>
      </c>
      <c r="AY157" s="422" t="s">
        <v>797</v>
      </c>
      <c r="AZ157" s="422" t="s">
        <v>792</v>
      </c>
      <c r="BA157" s="408" t="s">
        <v>662</v>
      </c>
      <c r="BC157" s="420">
        <f>AW157+AX157</f>
        <v>0</v>
      </c>
      <c r="BD157" s="420">
        <f>H157/(100-BE157)*100</f>
        <v>0</v>
      </c>
      <c r="BE157" s="420">
        <v>0</v>
      </c>
      <c r="BF157" s="420">
        <f>M157</f>
        <v>1.176E-2</v>
      </c>
      <c r="BH157" s="420">
        <f>G157*AO157</f>
        <v>0</v>
      </c>
      <c r="BI157" s="420">
        <f>G157*AP157</f>
        <v>0</v>
      </c>
      <c r="BJ157" s="420">
        <f>G157*H157</f>
        <v>0</v>
      </c>
      <c r="BK157" s="420"/>
      <c r="BL157" s="420">
        <v>27</v>
      </c>
    </row>
    <row r="158" spans="1:64" ht="15" customHeight="1">
      <c r="A158" s="423"/>
      <c r="D158" s="424" t="s">
        <v>802</v>
      </c>
      <c r="E158" s="424" t="s">
        <v>654</v>
      </c>
      <c r="G158" s="425">
        <v>0.30000000000000004</v>
      </c>
      <c r="N158" s="426"/>
    </row>
    <row r="159" spans="1:64" ht="15" customHeight="1">
      <c r="A159" s="401" t="s">
        <v>825</v>
      </c>
      <c r="B159" s="402" t="s">
        <v>654</v>
      </c>
      <c r="C159" s="402" t="s">
        <v>804</v>
      </c>
      <c r="D159" s="440" t="s">
        <v>805</v>
      </c>
      <c r="E159" s="440"/>
      <c r="F159" s="402" t="s">
        <v>40</v>
      </c>
      <c r="G159" s="420">
        <v>0.3</v>
      </c>
      <c r="H159" s="420"/>
      <c r="I159" s="420">
        <f>G159*AO159</f>
        <v>0</v>
      </c>
      <c r="J159" s="420">
        <f>G159*AP159</f>
        <v>0</v>
      </c>
      <c r="K159" s="420">
        <f>G159*H159</f>
        <v>0</v>
      </c>
      <c r="L159" s="420">
        <v>0</v>
      </c>
      <c r="M159" s="420">
        <f>G159*L159</f>
        <v>0</v>
      </c>
      <c r="N159" s="421" t="s">
        <v>1358</v>
      </c>
      <c r="Z159" s="420">
        <f>IF(AQ159="5",BJ159,0)</f>
        <v>0</v>
      </c>
      <c r="AB159" s="420">
        <f>IF(AQ159="1",BH159,0)</f>
        <v>0</v>
      </c>
      <c r="AC159" s="420">
        <f>IF(AQ159="1",BI159,0)</f>
        <v>0</v>
      </c>
      <c r="AD159" s="420">
        <f>IF(AQ159="7",BH159,0)</f>
        <v>0</v>
      </c>
      <c r="AE159" s="420">
        <f>IF(AQ159="7",BI159,0)</f>
        <v>0</v>
      </c>
      <c r="AF159" s="420">
        <f>IF(AQ159="2",BH159,0)</f>
        <v>0</v>
      </c>
      <c r="AG159" s="420">
        <f>IF(AQ159="2",BI159,0)</f>
        <v>0</v>
      </c>
      <c r="AH159" s="420">
        <f>IF(AQ159="0",BJ159,0)</f>
        <v>0</v>
      </c>
      <c r="AI159" s="408" t="s">
        <v>654</v>
      </c>
      <c r="AJ159" s="420">
        <f>IF(AN159=0,K159,0)</f>
        <v>0</v>
      </c>
      <c r="AK159" s="420">
        <f>IF(AN159=15,K159,0)</f>
        <v>0</v>
      </c>
      <c r="AL159" s="420">
        <f>IF(AN159=21,K159,0)</f>
        <v>0</v>
      </c>
      <c r="AN159" s="420">
        <v>21</v>
      </c>
      <c r="AO159" s="420">
        <f>H159*0</f>
        <v>0</v>
      </c>
      <c r="AP159" s="420">
        <f>H159*(1-0)</f>
        <v>0</v>
      </c>
      <c r="AQ159" s="422" t="s">
        <v>657</v>
      </c>
      <c r="AV159" s="420">
        <f>AW159+AX159</f>
        <v>0</v>
      </c>
      <c r="AW159" s="420">
        <f>G159*AO159</f>
        <v>0</v>
      </c>
      <c r="AX159" s="420">
        <f>G159*AP159</f>
        <v>0</v>
      </c>
      <c r="AY159" s="422" t="s">
        <v>797</v>
      </c>
      <c r="AZ159" s="422" t="s">
        <v>792</v>
      </c>
      <c r="BA159" s="408" t="s">
        <v>662</v>
      </c>
      <c r="BC159" s="420">
        <f>AW159+AX159</f>
        <v>0</v>
      </c>
      <c r="BD159" s="420">
        <f>H159/(100-BE159)*100</f>
        <v>0</v>
      </c>
      <c r="BE159" s="420">
        <v>0</v>
      </c>
      <c r="BF159" s="420">
        <f>M159</f>
        <v>0</v>
      </c>
      <c r="BH159" s="420">
        <f>G159*AO159</f>
        <v>0</v>
      </c>
      <c r="BI159" s="420">
        <f>G159*AP159</f>
        <v>0</v>
      </c>
      <c r="BJ159" s="420">
        <f>G159*H159</f>
        <v>0</v>
      </c>
      <c r="BK159" s="420"/>
      <c r="BL159" s="420">
        <v>27</v>
      </c>
    </row>
    <row r="160" spans="1:64" ht="15" customHeight="1">
      <c r="A160" s="423"/>
      <c r="D160" s="424" t="s">
        <v>806</v>
      </c>
      <c r="E160" s="424" t="s">
        <v>654</v>
      </c>
      <c r="G160" s="425">
        <v>0.30000000000000004</v>
      </c>
      <c r="N160" s="426"/>
    </row>
    <row r="161" spans="1:64" ht="15" customHeight="1">
      <c r="A161" s="416" t="s">
        <v>654</v>
      </c>
      <c r="B161" s="417" t="s">
        <v>654</v>
      </c>
      <c r="C161" s="417" t="s">
        <v>807</v>
      </c>
      <c r="D161" s="455" t="s">
        <v>808</v>
      </c>
      <c r="E161" s="455"/>
      <c r="F161" s="418" t="s">
        <v>608</v>
      </c>
      <c r="G161" s="418" t="s">
        <v>608</v>
      </c>
      <c r="H161" s="418"/>
      <c r="I161" s="400">
        <f>SUM(I162:I162)</f>
        <v>0</v>
      </c>
      <c r="J161" s="400">
        <f>SUM(J162:J162)</f>
        <v>0</v>
      </c>
      <c r="K161" s="400">
        <f>SUM(K162:K162)</f>
        <v>0</v>
      </c>
      <c r="L161" s="408" t="s">
        <v>654</v>
      </c>
      <c r="M161" s="400">
        <f>SUM(M162:M162)</f>
        <v>0</v>
      </c>
      <c r="N161" s="419" t="s">
        <v>654</v>
      </c>
      <c r="AI161" s="408" t="s">
        <v>654</v>
      </c>
      <c r="AS161" s="400">
        <f>SUM(AJ162:AJ162)</f>
        <v>0</v>
      </c>
      <c r="AT161" s="400">
        <f>SUM(AK162:AK162)</f>
        <v>0</v>
      </c>
      <c r="AU161" s="400">
        <f>SUM(AL162:AL162)</f>
        <v>0</v>
      </c>
    </row>
    <row r="162" spans="1:64" ht="15" customHeight="1">
      <c r="A162" s="401" t="s">
        <v>830</v>
      </c>
      <c r="B162" s="402" t="s">
        <v>654</v>
      </c>
      <c r="C162" s="402" t="s">
        <v>810</v>
      </c>
      <c r="D162" s="440" t="s">
        <v>811</v>
      </c>
      <c r="E162" s="440"/>
      <c r="F162" s="402" t="s">
        <v>14</v>
      </c>
      <c r="G162" s="420">
        <v>8</v>
      </c>
      <c r="H162" s="420"/>
      <c r="I162" s="420">
        <f>G162*AO162</f>
        <v>0</v>
      </c>
      <c r="J162" s="420">
        <f>G162*AP162</f>
        <v>0</v>
      </c>
      <c r="K162" s="420">
        <f>G162*H162</f>
        <v>0</v>
      </c>
      <c r="L162" s="420">
        <v>0</v>
      </c>
      <c r="M162" s="420">
        <f>G162*L162</f>
        <v>0</v>
      </c>
      <c r="N162" s="421" t="s">
        <v>654</v>
      </c>
      <c r="Z162" s="420">
        <f>IF(AQ162="5",BJ162,0)</f>
        <v>0</v>
      </c>
      <c r="AB162" s="420">
        <f>IF(AQ162="1",BH162,0)</f>
        <v>0</v>
      </c>
      <c r="AC162" s="420">
        <f>IF(AQ162="1",BI162,0)</f>
        <v>0</v>
      </c>
      <c r="AD162" s="420">
        <f>IF(AQ162="7",BH162,0)</f>
        <v>0</v>
      </c>
      <c r="AE162" s="420">
        <f>IF(AQ162="7",BI162,0)</f>
        <v>0</v>
      </c>
      <c r="AF162" s="420">
        <f>IF(AQ162="2",BH162,0)</f>
        <v>0</v>
      </c>
      <c r="AG162" s="420">
        <f>IF(AQ162="2",BI162,0)</f>
        <v>0</v>
      </c>
      <c r="AH162" s="420">
        <f>IF(AQ162="0",BJ162,0)</f>
        <v>0</v>
      </c>
      <c r="AI162" s="408" t="s">
        <v>654</v>
      </c>
      <c r="AJ162" s="420">
        <f>IF(AN162=0,K162,0)</f>
        <v>0</v>
      </c>
      <c r="AK162" s="420">
        <f>IF(AN162=15,K162,0)</f>
        <v>0</v>
      </c>
      <c r="AL162" s="420">
        <f>IF(AN162=21,K162,0)</f>
        <v>0</v>
      </c>
      <c r="AN162" s="420">
        <v>21</v>
      </c>
      <c r="AO162" s="420">
        <f>H162*0.333333333333333</f>
        <v>0</v>
      </c>
      <c r="AP162" s="420">
        <f>H162*(1-0.333333333333333)</f>
        <v>0</v>
      </c>
      <c r="AQ162" s="422" t="s">
        <v>657</v>
      </c>
      <c r="AV162" s="420">
        <f>AW162+AX162</f>
        <v>0</v>
      </c>
      <c r="AW162" s="420">
        <f>G162*AO162</f>
        <v>0</v>
      </c>
      <c r="AX162" s="420">
        <f>G162*AP162</f>
        <v>0</v>
      </c>
      <c r="AY162" s="422" t="s">
        <v>812</v>
      </c>
      <c r="AZ162" s="422" t="s">
        <v>813</v>
      </c>
      <c r="BA162" s="408" t="s">
        <v>662</v>
      </c>
      <c r="BC162" s="420">
        <f>AW162+AX162</f>
        <v>0</v>
      </c>
      <c r="BD162" s="420">
        <f>H162/(100-BE162)*100</f>
        <v>0</v>
      </c>
      <c r="BE162" s="420">
        <v>0</v>
      </c>
      <c r="BF162" s="420">
        <f>M162</f>
        <v>0</v>
      </c>
      <c r="BH162" s="420">
        <f>G162*AO162</f>
        <v>0</v>
      </c>
      <c r="BI162" s="420">
        <f>G162*AP162</f>
        <v>0</v>
      </c>
      <c r="BJ162" s="420">
        <f>G162*H162</f>
        <v>0</v>
      </c>
      <c r="BK162" s="420"/>
      <c r="BL162" s="420">
        <v>343</v>
      </c>
    </row>
    <row r="163" spans="1:64" ht="15" customHeight="1">
      <c r="A163" s="423"/>
      <c r="D163" s="424" t="s">
        <v>814</v>
      </c>
      <c r="E163" s="424" t="s">
        <v>654</v>
      </c>
      <c r="G163" s="425">
        <v>1</v>
      </c>
      <c r="N163" s="426"/>
    </row>
    <row r="164" spans="1:64" ht="15" customHeight="1">
      <c r="A164" s="423"/>
      <c r="D164" s="424" t="s">
        <v>815</v>
      </c>
      <c r="E164" s="424" t="s">
        <v>654</v>
      </c>
      <c r="G164" s="425">
        <v>2</v>
      </c>
      <c r="N164" s="426"/>
    </row>
    <row r="165" spans="1:64" ht="15" customHeight="1">
      <c r="A165" s="423"/>
      <c r="D165" s="424" t="s">
        <v>816</v>
      </c>
      <c r="E165" s="424" t="s">
        <v>654</v>
      </c>
      <c r="G165" s="425">
        <v>5</v>
      </c>
      <c r="N165" s="426"/>
    </row>
    <row r="166" spans="1:64" ht="15" customHeight="1">
      <c r="A166" s="416" t="s">
        <v>654</v>
      </c>
      <c r="B166" s="417" t="s">
        <v>654</v>
      </c>
      <c r="C166" s="417" t="s">
        <v>817</v>
      </c>
      <c r="D166" s="455" t="s">
        <v>818</v>
      </c>
      <c r="E166" s="455"/>
      <c r="F166" s="418" t="s">
        <v>608</v>
      </c>
      <c r="G166" s="418" t="s">
        <v>608</v>
      </c>
      <c r="H166" s="418"/>
      <c r="I166" s="400">
        <f>SUM(I167:I176)</f>
        <v>0</v>
      </c>
      <c r="J166" s="400">
        <f>SUM(J167:J176)</f>
        <v>0</v>
      </c>
      <c r="K166" s="400">
        <f>SUM(K167:K176)</f>
        <v>0</v>
      </c>
      <c r="L166" s="408" t="s">
        <v>654</v>
      </c>
      <c r="M166" s="400">
        <f>SUM(M167:M176)</f>
        <v>401.34824575930003</v>
      </c>
      <c r="N166" s="419" t="s">
        <v>654</v>
      </c>
      <c r="AI166" s="408" t="s">
        <v>654</v>
      </c>
      <c r="AS166" s="400">
        <f>SUM(AJ167:AJ176)</f>
        <v>0</v>
      </c>
      <c r="AT166" s="400">
        <f>SUM(AK167:AK176)</f>
        <v>0</v>
      </c>
      <c r="AU166" s="400">
        <f>SUM(AL167:AL176)</f>
        <v>0</v>
      </c>
    </row>
    <row r="167" spans="1:64" ht="15" customHeight="1">
      <c r="A167" s="401" t="s">
        <v>834</v>
      </c>
      <c r="B167" s="402" t="s">
        <v>654</v>
      </c>
      <c r="C167" s="402" t="s">
        <v>820</v>
      </c>
      <c r="D167" s="440" t="s">
        <v>1424</v>
      </c>
      <c r="E167" s="440"/>
      <c r="F167" s="402" t="s">
        <v>694</v>
      </c>
      <c r="G167" s="420">
        <v>212.26709</v>
      </c>
      <c r="H167" s="420"/>
      <c r="I167" s="420">
        <f>G167*AO167</f>
        <v>0</v>
      </c>
      <c r="J167" s="420">
        <f>G167*AP167</f>
        <v>0</v>
      </c>
      <c r="K167" s="420">
        <f>G167*H167</f>
        <v>0</v>
      </c>
      <c r="L167" s="420">
        <v>1.8907700000000001</v>
      </c>
      <c r="M167" s="420">
        <f>G167*L167</f>
        <v>401.34824575930003</v>
      </c>
      <c r="N167" s="421" t="s">
        <v>1358</v>
      </c>
      <c r="Z167" s="420">
        <f>IF(AQ167="5",BJ167,0)</f>
        <v>0</v>
      </c>
      <c r="AB167" s="420">
        <f>IF(AQ167="1",BH167,0)</f>
        <v>0</v>
      </c>
      <c r="AC167" s="420">
        <f>IF(AQ167="1",BI167,0)</f>
        <v>0</v>
      </c>
      <c r="AD167" s="420">
        <f>IF(AQ167="7",BH167,0)</f>
        <v>0</v>
      </c>
      <c r="AE167" s="420">
        <f>IF(AQ167="7",BI167,0)</f>
        <v>0</v>
      </c>
      <c r="AF167" s="420">
        <f>IF(AQ167="2",BH167,0)</f>
        <v>0</v>
      </c>
      <c r="AG167" s="420">
        <f>IF(AQ167="2",BI167,0)</f>
        <v>0</v>
      </c>
      <c r="AH167" s="420">
        <f>IF(AQ167="0",BJ167,0)</f>
        <v>0</v>
      </c>
      <c r="AI167" s="408" t="s">
        <v>654</v>
      </c>
      <c r="AJ167" s="420">
        <f>IF(AN167=0,K167,0)</f>
        <v>0</v>
      </c>
      <c r="AK167" s="420">
        <f>IF(AN167=15,K167,0)</f>
        <v>0</v>
      </c>
      <c r="AL167" s="420">
        <f>IF(AN167=21,K167,0)</f>
        <v>0</v>
      </c>
      <c r="AN167" s="420">
        <v>21</v>
      </c>
      <c r="AO167" s="420">
        <f>H167*0.480904565440069</f>
        <v>0</v>
      </c>
      <c r="AP167" s="420">
        <f>H167*(1-0.480904565440069)</f>
        <v>0</v>
      </c>
      <c r="AQ167" s="422" t="s">
        <v>657</v>
      </c>
      <c r="AV167" s="420">
        <f>AW167+AX167</f>
        <v>0</v>
      </c>
      <c r="AW167" s="420">
        <f>G167*AO167</f>
        <v>0</v>
      </c>
      <c r="AX167" s="420">
        <f>G167*AP167</f>
        <v>0</v>
      </c>
      <c r="AY167" s="422" t="s">
        <v>822</v>
      </c>
      <c r="AZ167" s="422" t="s">
        <v>823</v>
      </c>
      <c r="BA167" s="408" t="s">
        <v>662</v>
      </c>
      <c r="BC167" s="420">
        <f>AW167+AX167</f>
        <v>0</v>
      </c>
      <c r="BD167" s="420">
        <f>H167/(100-BE167)*100</f>
        <v>0</v>
      </c>
      <c r="BE167" s="420">
        <v>0</v>
      </c>
      <c r="BF167" s="420">
        <f>M167</f>
        <v>401.34824575930003</v>
      </c>
      <c r="BH167" s="420">
        <f>G167*AO167</f>
        <v>0</v>
      </c>
      <c r="BI167" s="420">
        <f>G167*AP167</f>
        <v>0</v>
      </c>
      <c r="BJ167" s="420">
        <f>G167*H167</f>
        <v>0</v>
      </c>
      <c r="BK167" s="420"/>
      <c r="BL167" s="420">
        <v>45</v>
      </c>
    </row>
    <row r="168" spans="1:64" ht="15" customHeight="1">
      <c r="A168" s="423"/>
      <c r="D168" s="424" t="s">
        <v>824</v>
      </c>
      <c r="E168" s="424" t="s">
        <v>654</v>
      </c>
      <c r="G168" s="425">
        <v>39.18</v>
      </c>
      <c r="N168" s="426"/>
    </row>
    <row r="169" spans="1:64" ht="15" customHeight="1">
      <c r="A169" s="423"/>
      <c r="D169" s="424" t="s">
        <v>1425</v>
      </c>
      <c r="E169" s="424" t="s">
        <v>654</v>
      </c>
      <c r="G169" s="425">
        <v>4.95</v>
      </c>
      <c r="N169" s="426"/>
    </row>
    <row r="170" spans="1:64" ht="15" customHeight="1">
      <c r="A170" s="423"/>
      <c r="D170" s="424" t="s">
        <v>1426</v>
      </c>
      <c r="E170" s="424" t="s">
        <v>654</v>
      </c>
      <c r="G170" s="425">
        <v>10.942500000000001</v>
      </c>
      <c r="N170" s="426"/>
    </row>
    <row r="171" spans="1:64" ht="15" customHeight="1">
      <c r="A171" s="423"/>
      <c r="D171" s="424" t="s">
        <v>677</v>
      </c>
      <c r="E171" s="424" t="s">
        <v>654</v>
      </c>
      <c r="G171" s="425">
        <v>0</v>
      </c>
      <c r="N171" s="426"/>
    </row>
    <row r="172" spans="1:64" ht="15" customHeight="1">
      <c r="A172" s="423"/>
      <c r="D172" s="424" t="s">
        <v>1427</v>
      </c>
      <c r="E172" s="424" t="s">
        <v>654</v>
      </c>
      <c r="G172" s="425">
        <v>8.4543800000000005</v>
      </c>
      <c r="N172" s="426"/>
    </row>
    <row r="173" spans="1:64" ht="15" customHeight="1">
      <c r="A173" s="423"/>
      <c r="D173" s="424" t="s">
        <v>685</v>
      </c>
      <c r="E173" s="424" t="s">
        <v>654</v>
      </c>
      <c r="G173" s="425">
        <v>0</v>
      </c>
      <c r="N173" s="426"/>
    </row>
    <row r="174" spans="1:64" ht="15" customHeight="1">
      <c r="A174" s="423"/>
      <c r="D174" s="424" t="s">
        <v>1428</v>
      </c>
      <c r="E174" s="424" t="s">
        <v>654</v>
      </c>
      <c r="G174" s="425">
        <v>148.74021000000002</v>
      </c>
      <c r="N174" s="426"/>
    </row>
    <row r="175" spans="1:64" ht="15" customHeight="1">
      <c r="A175" s="423"/>
      <c r="D175" s="424" t="s">
        <v>679</v>
      </c>
      <c r="E175" s="424" t="s">
        <v>654</v>
      </c>
      <c r="G175" s="425">
        <v>0</v>
      </c>
      <c r="N175" s="426"/>
    </row>
    <row r="176" spans="1:64" ht="15" customHeight="1">
      <c r="A176" s="401" t="s">
        <v>837</v>
      </c>
      <c r="B176" s="402" t="s">
        <v>654</v>
      </c>
      <c r="C176" s="402" t="s">
        <v>826</v>
      </c>
      <c r="D176" s="440" t="s">
        <v>827</v>
      </c>
      <c r="E176" s="440"/>
      <c r="F176" s="402" t="s">
        <v>694</v>
      </c>
      <c r="G176" s="420">
        <v>212.26709</v>
      </c>
      <c r="H176" s="420"/>
      <c r="I176" s="420">
        <f>G176*AO176</f>
        <v>0</v>
      </c>
      <c r="J176" s="420">
        <f>G176*AP176</f>
        <v>0</v>
      </c>
      <c r="K176" s="420">
        <f>G176*H176</f>
        <v>0</v>
      </c>
      <c r="L176" s="420">
        <v>0</v>
      </c>
      <c r="M176" s="420">
        <f>G176*L176</f>
        <v>0</v>
      </c>
      <c r="N176" s="421" t="s">
        <v>1358</v>
      </c>
      <c r="Z176" s="420">
        <f>IF(AQ176="5",BJ176,0)</f>
        <v>0</v>
      </c>
      <c r="AB176" s="420">
        <f>IF(AQ176="1",BH176,0)</f>
        <v>0</v>
      </c>
      <c r="AC176" s="420">
        <f>IF(AQ176="1",BI176,0)</f>
        <v>0</v>
      </c>
      <c r="AD176" s="420">
        <f>IF(AQ176="7",BH176,0)</f>
        <v>0</v>
      </c>
      <c r="AE176" s="420">
        <f>IF(AQ176="7",BI176,0)</f>
        <v>0</v>
      </c>
      <c r="AF176" s="420">
        <f>IF(AQ176="2",BH176,0)</f>
        <v>0</v>
      </c>
      <c r="AG176" s="420">
        <f>IF(AQ176="2",BI176,0)</f>
        <v>0</v>
      </c>
      <c r="AH176" s="420">
        <f>IF(AQ176="0",BJ176,0)</f>
        <v>0</v>
      </c>
      <c r="AI176" s="408" t="s">
        <v>654</v>
      </c>
      <c r="AJ176" s="420">
        <f>IF(AN176=0,K176,0)</f>
        <v>0</v>
      </c>
      <c r="AK176" s="420">
        <f>IF(AN176=15,K176,0)</f>
        <v>0</v>
      </c>
      <c r="AL176" s="420">
        <f>IF(AN176=21,K176,0)</f>
        <v>0</v>
      </c>
      <c r="AN176" s="420">
        <v>21</v>
      </c>
      <c r="AO176" s="420">
        <f>H176*0</f>
        <v>0</v>
      </c>
      <c r="AP176" s="420">
        <f>H176*(1-0)</f>
        <v>0</v>
      </c>
      <c r="AQ176" s="422" t="s">
        <v>666</v>
      </c>
      <c r="AV176" s="420">
        <f>AW176+AX176</f>
        <v>0</v>
      </c>
      <c r="AW176" s="420">
        <f>G176*AO176</f>
        <v>0</v>
      </c>
      <c r="AX176" s="420">
        <f>G176*AP176</f>
        <v>0</v>
      </c>
      <c r="AY176" s="422" t="s">
        <v>822</v>
      </c>
      <c r="AZ176" s="422" t="s">
        <v>823</v>
      </c>
      <c r="BA176" s="408" t="s">
        <v>662</v>
      </c>
      <c r="BC176" s="420">
        <f>AW176+AX176</f>
        <v>0</v>
      </c>
      <c r="BD176" s="420">
        <f>H176/(100-BE176)*100</f>
        <v>0</v>
      </c>
      <c r="BE176" s="420">
        <v>0</v>
      </c>
      <c r="BF176" s="420">
        <f>M176</f>
        <v>0</v>
      </c>
      <c r="BH176" s="420">
        <f>G176*AO176</f>
        <v>0</v>
      </c>
      <c r="BI176" s="420">
        <f>G176*AP176</f>
        <v>0</v>
      </c>
      <c r="BJ176" s="420">
        <f>G176*H176</f>
        <v>0</v>
      </c>
      <c r="BK176" s="420"/>
      <c r="BL176" s="420">
        <v>45</v>
      </c>
    </row>
    <row r="177" spans="1:64" ht="15" customHeight="1">
      <c r="A177" s="423"/>
      <c r="D177" s="424" t="s">
        <v>1429</v>
      </c>
      <c r="E177" s="424" t="s">
        <v>654</v>
      </c>
      <c r="G177" s="425">
        <v>212.26709000000002</v>
      </c>
      <c r="N177" s="426"/>
    </row>
    <row r="178" spans="1:64" ht="15" customHeight="1">
      <c r="A178" s="416" t="s">
        <v>654</v>
      </c>
      <c r="B178" s="417" t="s">
        <v>654</v>
      </c>
      <c r="C178" s="417" t="s">
        <v>828</v>
      </c>
      <c r="D178" s="455" t="s">
        <v>829</v>
      </c>
      <c r="E178" s="455"/>
      <c r="F178" s="418" t="s">
        <v>608</v>
      </c>
      <c r="G178" s="418" t="s">
        <v>608</v>
      </c>
      <c r="H178" s="418"/>
      <c r="I178" s="400">
        <f>SUM(I179:I185)</f>
        <v>0</v>
      </c>
      <c r="J178" s="400">
        <f>SUM(J179:J185)</f>
        <v>0</v>
      </c>
      <c r="K178" s="400">
        <f>SUM(K179:K185)</f>
        <v>0</v>
      </c>
      <c r="L178" s="408" t="s">
        <v>654</v>
      </c>
      <c r="M178" s="400">
        <f>SUM(M179:M185)</f>
        <v>904.10922000000005</v>
      </c>
      <c r="N178" s="419" t="s">
        <v>654</v>
      </c>
      <c r="AI178" s="408" t="s">
        <v>654</v>
      </c>
      <c r="AS178" s="400">
        <f>SUM(AJ179:AJ185)</f>
        <v>0</v>
      </c>
      <c r="AT178" s="400">
        <f>SUM(AK179:AK185)</f>
        <v>0</v>
      </c>
      <c r="AU178" s="400">
        <f>SUM(AL179:AL185)</f>
        <v>0</v>
      </c>
    </row>
    <row r="179" spans="1:64" ht="15" customHeight="1">
      <c r="A179" s="401" t="s">
        <v>840</v>
      </c>
      <c r="B179" s="402" t="s">
        <v>654</v>
      </c>
      <c r="C179" s="402" t="s">
        <v>831</v>
      </c>
      <c r="D179" s="440" t="s">
        <v>832</v>
      </c>
      <c r="E179" s="440"/>
      <c r="F179" s="402" t="s">
        <v>40</v>
      </c>
      <c r="G179" s="420">
        <v>879</v>
      </c>
      <c r="H179" s="420"/>
      <c r="I179" s="420">
        <f>G179*AO179</f>
        <v>0</v>
      </c>
      <c r="J179" s="420">
        <f>G179*AP179</f>
        <v>0</v>
      </c>
      <c r="K179" s="420">
        <f>G179*H179</f>
        <v>0</v>
      </c>
      <c r="L179" s="420">
        <v>0.441</v>
      </c>
      <c r="M179" s="420">
        <f>G179*L179</f>
        <v>387.63900000000001</v>
      </c>
      <c r="N179" s="421" t="s">
        <v>1358</v>
      </c>
      <c r="Z179" s="420">
        <f>IF(AQ179="5",BJ179,0)</f>
        <v>0</v>
      </c>
      <c r="AB179" s="420">
        <f>IF(AQ179="1",BH179,0)</f>
        <v>0</v>
      </c>
      <c r="AC179" s="420">
        <f>IF(AQ179="1",BI179,0)</f>
        <v>0</v>
      </c>
      <c r="AD179" s="420">
        <f>IF(AQ179="7",BH179,0)</f>
        <v>0</v>
      </c>
      <c r="AE179" s="420">
        <f>IF(AQ179="7",BI179,0)</f>
        <v>0</v>
      </c>
      <c r="AF179" s="420">
        <f>IF(AQ179="2",BH179,0)</f>
        <v>0</v>
      </c>
      <c r="AG179" s="420">
        <f>IF(AQ179="2",BI179,0)</f>
        <v>0</v>
      </c>
      <c r="AH179" s="420">
        <f>IF(AQ179="0",BJ179,0)</f>
        <v>0</v>
      </c>
      <c r="AI179" s="408" t="s">
        <v>654</v>
      </c>
      <c r="AJ179" s="420">
        <f>IF(AN179=0,K179,0)</f>
        <v>0</v>
      </c>
      <c r="AK179" s="420">
        <f>IF(AN179=15,K179,0)</f>
        <v>0</v>
      </c>
      <c r="AL179" s="420">
        <f>IF(AN179=21,K179,0)</f>
        <v>0</v>
      </c>
      <c r="AN179" s="420">
        <v>21</v>
      </c>
      <c r="AO179" s="420">
        <f>H179*0.861021611001965</f>
        <v>0</v>
      </c>
      <c r="AP179" s="420">
        <f>H179*(1-0.861021611001965)</f>
        <v>0</v>
      </c>
      <c r="AQ179" s="422" t="s">
        <v>657</v>
      </c>
      <c r="AV179" s="420">
        <f>AW179+AX179</f>
        <v>0</v>
      </c>
      <c r="AW179" s="420">
        <f>G179*AO179</f>
        <v>0</v>
      </c>
      <c r="AX179" s="420">
        <f>G179*AP179</f>
        <v>0</v>
      </c>
      <c r="AY179" s="422" t="s">
        <v>1430</v>
      </c>
      <c r="AZ179" s="422" t="s">
        <v>833</v>
      </c>
      <c r="BA179" s="408" t="s">
        <v>662</v>
      </c>
      <c r="BC179" s="420">
        <f>AW179+AX179</f>
        <v>0</v>
      </c>
      <c r="BD179" s="420">
        <f>H179/(100-BE179)*100</f>
        <v>0</v>
      </c>
      <c r="BE179" s="420">
        <v>0</v>
      </c>
      <c r="BF179" s="420">
        <f>M179</f>
        <v>387.63900000000001</v>
      </c>
      <c r="BH179" s="420">
        <f>G179*AO179</f>
        <v>0</v>
      </c>
      <c r="BI179" s="420">
        <f>G179*AP179</f>
        <v>0</v>
      </c>
      <c r="BJ179" s="420">
        <f>G179*H179</f>
        <v>0</v>
      </c>
      <c r="BK179" s="420"/>
      <c r="BL179" s="420">
        <v>56</v>
      </c>
    </row>
    <row r="180" spans="1:64" ht="15" customHeight="1">
      <c r="A180" s="423"/>
      <c r="D180" s="424" t="s">
        <v>1431</v>
      </c>
      <c r="E180" s="424" t="s">
        <v>654</v>
      </c>
      <c r="G180" s="425">
        <v>879.00000000000011</v>
      </c>
      <c r="N180" s="426"/>
    </row>
    <row r="181" spans="1:64" ht="15" customHeight="1">
      <c r="A181" s="401" t="s">
        <v>844</v>
      </c>
      <c r="B181" s="402" t="s">
        <v>654</v>
      </c>
      <c r="C181" s="402" t="s">
        <v>835</v>
      </c>
      <c r="D181" s="440" t="s">
        <v>836</v>
      </c>
      <c r="E181" s="440"/>
      <c r="F181" s="402" t="s">
        <v>40</v>
      </c>
      <c r="G181" s="420">
        <v>879</v>
      </c>
      <c r="H181" s="420"/>
      <c r="I181" s="420">
        <f>G181*AO181</f>
        <v>0</v>
      </c>
      <c r="J181" s="420">
        <f>G181*AP181</f>
        <v>0</v>
      </c>
      <c r="K181" s="420">
        <f>G181*H181</f>
        <v>0</v>
      </c>
      <c r="L181" s="420">
        <v>0.378</v>
      </c>
      <c r="M181" s="420">
        <f>G181*L181</f>
        <v>332.262</v>
      </c>
      <c r="N181" s="421" t="s">
        <v>1358</v>
      </c>
      <c r="Z181" s="420">
        <f>IF(AQ181="5",BJ181,0)</f>
        <v>0</v>
      </c>
      <c r="AB181" s="420">
        <f>IF(AQ181="1",BH181,0)</f>
        <v>0</v>
      </c>
      <c r="AC181" s="420">
        <f>IF(AQ181="1",BI181,0)</f>
        <v>0</v>
      </c>
      <c r="AD181" s="420">
        <f>IF(AQ181="7",BH181,0)</f>
        <v>0</v>
      </c>
      <c r="AE181" s="420">
        <f>IF(AQ181="7",BI181,0)</f>
        <v>0</v>
      </c>
      <c r="AF181" s="420">
        <f>IF(AQ181="2",BH181,0)</f>
        <v>0</v>
      </c>
      <c r="AG181" s="420">
        <f>IF(AQ181="2",BI181,0)</f>
        <v>0</v>
      </c>
      <c r="AH181" s="420">
        <f>IF(AQ181="0",BJ181,0)</f>
        <v>0</v>
      </c>
      <c r="AI181" s="408" t="s">
        <v>654</v>
      </c>
      <c r="AJ181" s="420">
        <f>IF(AN181=0,K181,0)</f>
        <v>0</v>
      </c>
      <c r="AK181" s="420">
        <f>IF(AN181=15,K181,0)</f>
        <v>0</v>
      </c>
      <c r="AL181" s="420">
        <f>IF(AN181=21,K181,0)</f>
        <v>0</v>
      </c>
      <c r="AN181" s="420">
        <v>21</v>
      </c>
      <c r="AO181" s="420">
        <f>H181*0.843538461538462</f>
        <v>0</v>
      </c>
      <c r="AP181" s="420">
        <f>H181*(1-0.843538461538462)</f>
        <v>0</v>
      </c>
      <c r="AQ181" s="422" t="s">
        <v>657</v>
      </c>
      <c r="AV181" s="420">
        <f>AW181+AX181</f>
        <v>0</v>
      </c>
      <c r="AW181" s="420">
        <f>G181*AO181</f>
        <v>0</v>
      </c>
      <c r="AX181" s="420">
        <f>G181*AP181</f>
        <v>0</v>
      </c>
      <c r="AY181" s="422" t="s">
        <v>1430</v>
      </c>
      <c r="AZ181" s="422" t="s">
        <v>833</v>
      </c>
      <c r="BA181" s="408" t="s">
        <v>662</v>
      </c>
      <c r="BC181" s="420">
        <f>AW181+AX181</f>
        <v>0</v>
      </c>
      <c r="BD181" s="420">
        <f>H181/(100-BE181)*100</f>
        <v>0</v>
      </c>
      <c r="BE181" s="420">
        <v>0</v>
      </c>
      <c r="BF181" s="420">
        <f>M181</f>
        <v>332.262</v>
      </c>
      <c r="BH181" s="420">
        <f>G181*AO181</f>
        <v>0</v>
      </c>
      <c r="BI181" s="420">
        <f>G181*AP181</f>
        <v>0</v>
      </c>
      <c r="BJ181" s="420">
        <f>G181*H181</f>
        <v>0</v>
      </c>
      <c r="BK181" s="420"/>
      <c r="BL181" s="420">
        <v>56</v>
      </c>
    </row>
    <row r="182" spans="1:64" ht="15" customHeight="1">
      <c r="A182" s="423"/>
      <c r="D182" s="424" t="s">
        <v>1431</v>
      </c>
      <c r="E182" s="424" t="s">
        <v>654</v>
      </c>
      <c r="G182" s="425">
        <v>879.00000000000011</v>
      </c>
      <c r="N182" s="426"/>
    </row>
    <row r="183" spans="1:64" ht="15" customHeight="1">
      <c r="A183" s="401" t="s">
        <v>817</v>
      </c>
      <c r="B183" s="402" t="s">
        <v>654</v>
      </c>
      <c r="C183" s="402" t="s">
        <v>838</v>
      </c>
      <c r="D183" s="440" t="s">
        <v>839</v>
      </c>
      <c r="E183" s="440"/>
      <c r="F183" s="402" t="s">
        <v>40</v>
      </c>
      <c r="G183" s="420">
        <v>879</v>
      </c>
      <c r="H183" s="420"/>
      <c r="I183" s="420">
        <f>G183*AO183</f>
        <v>0</v>
      </c>
      <c r="J183" s="420">
        <f>G183*AP183</f>
        <v>0</v>
      </c>
      <c r="K183" s="420">
        <f>G183*H183</f>
        <v>0</v>
      </c>
      <c r="L183" s="420">
        <v>0.13188</v>
      </c>
      <c r="M183" s="420">
        <f>G183*L183</f>
        <v>115.92251999999999</v>
      </c>
      <c r="N183" s="421" t="s">
        <v>1358</v>
      </c>
      <c r="Z183" s="420">
        <f>IF(AQ183="5",BJ183,0)</f>
        <v>0</v>
      </c>
      <c r="AB183" s="420">
        <f>IF(AQ183="1",BH183,0)</f>
        <v>0</v>
      </c>
      <c r="AC183" s="420">
        <f>IF(AQ183="1",BI183,0)</f>
        <v>0</v>
      </c>
      <c r="AD183" s="420">
        <f>IF(AQ183="7",BH183,0)</f>
        <v>0</v>
      </c>
      <c r="AE183" s="420">
        <f>IF(AQ183="7",BI183,0)</f>
        <v>0</v>
      </c>
      <c r="AF183" s="420">
        <f>IF(AQ183="2",BH183,0)</f>
        <v>0</v>
      </c>
      <c r="AG183" s="420">
        <f>IF(AQ183="2",BI183,0)</f>
        <v>0</v>
      </c>
      <c r="AH183" s="420">
        <f>IF(AQ183="0",BJ183,0)</f>
        <v>0</v>
      </c>
      <c r="AI183" s="408" t="s">
        <v>654</v>
      </c>
      <c r="AJ183" s="420">
        <f>IF(AN183=0,K183,0)</f>
        <v>0</v>
      </c>
      <c r="AK183" s="420">
        <f>IF(AN183=15,K183,0)</f>
        <v>0</v>
      </c>
      <c r="AL183" s="420">
        <f>IF(AN183=21,K183,0)</f>
        <v>0</v>
      </c>
      <c r="AN183" s="420">
        <v>21</v>
      </c>
      <c r="AO183" s="420">
        <f>H183*0.769425287356322</f>
        <v>0</v>
      </c>
      <c r="AP183" s="420">
        <f>H183*(1-0.769425287356322)</f>
        <v>0</v>
      </c>
      <c r="AQ183" s="422" t="s">
        <v>657</v>
      </c>
      <c r="AV183" s="420">
        <f>AW183+AX183</f>
        <v>0</v>
      </c>
      <c r="AW183" s="420">
        <f>G183*AO183</f>
        <v>0</v>
      </c>
      <c r="AX183" s="420">
        <f>G183*AP183</f>
        <v>0</v>
      </c>
      <c r="AY183" s="422" t="s">
        <v>1430</v>
      </c>
      <c r="AZ183" s="422" t="s">
        <v>833</v>
      </c>
      <c r="BA183" s="408" t="s">
        <v>662</v>
      </c>
      <c r="BC183" s="420">
        <f>AW183+AX183</f>
        <v>0</v>
      </c>
      <c r="BD183" s="420">
        <f>H183/(100-BE183)*100</f>
        <v>0</v>
      </c>
      <c r="BE183" s="420">
        <v>0</v>
      </c>
      <c r="BF183" s="420">
        <f>M183</f>
        <v>115.92251999999999</v>
      </c>
      <c r="BH183" s="420">
        <f>G183*AO183</f>
        <v>0</v>
      </c>
      <c r="BI183" s="420">
        <f>G183*AP183</f>
        <v>0</v>
      </c>
      <c r="BJ183" s="420">
        <f>G183*H183</f>
        <v>0</v>
      </c>
      <c r="BK183" s="420"/>
      <c r="BL183" s="420">
        <v>56</v>
      </c>
    </row>
    <row r="184" spans="1:64" ht="15" customHeight="1">
      <c r="A184" s="423"/>
      <c r="D184" s="424" t="s">
        <v>1431</v>
      </c>
      <c r="E184" s="424" t="s">
        <v>654</v>
      </c>
      <c r="G184" s="425">
        <v>879.00000000000011</v>
      </c>
      <c r="N184" s="426"/>
    </row>
    <row r="185" spans="1:64" ht="15" customHeight="1">
      <c r="A185" s="401" t="s">
        <v>849</v>
      </c>
      <c r="B185" s="402" t="s">
        <v>654</v>
      </c>
      <c r="C185" s="402" t="s">
        <v>835</v>
      </c>
      <c r="D185" s="440" t="s">
        <v>841</v>
      </c>
      <c r="E185" s="440"/>
      <c r="F185" s="402" t="s">
        <v>40</v>
      </c>
      <c r="G185" s="420">
        <v>180.65</v>
      </c>
      <c r="H185" s="420"/>
      <c r="I185" s="420">
        <f>G185*AO185</f>
        <v>0</v>
      </c>
      <c r="J185" s="420">
        <f>G185*AP185</f>
        <v>0</v>
      </c>
      <c r="K185" s="420">
        <f>G185*H185</f>
        <v>0</v>
      </c>
      <c r="L185" s="420">
        <v>0.378</v>
      </c>
      <c r="M185" s="420">
        <f>G185*L185</f>
        <v>68.285700000000006</v>
      </c>
      <c r="N185" s="421" t="s">
        <v>1358</v>
      </c>
      <c r="Z185" s="420">
        <f>IF(AQ185="5",BJ185,0)</f>
        <v>0</v>
      </c>
      <c r="AB185" s="420">
        <f>IF(AQ185="1",BH185,0)</f>
        <v>0</v>
      </c>
      <c r="AC185" s="420">
        <f>IF(AQ185="1",BI185,0)</f>
        <v>0</v>
      </c>
      <c r="AD185" s="420">
        <f>IF(AQ185="7",BH185,0)</f>
        <v>0</v>
      </c>
      <c r="AE185" s="420">
        <f>IF(AQ185="7",BI185,0)</f>
        <v>0</v>
      </c>
      <c r="AF185" s="420">
        <f>IF(AQ185="2",BH185,0)</f>
        <v>0</v>
      </c>
      <c r="AG185" s="420">
        <f>IF(AQ185="2",BI185,0)</f>
        <v>0</v>
      </c>
      <c r="AH185" s="420">
        <f>IF(AQ185="0",BJ185,0)</f>
        <v>0</v>
      </c>
      <c r="AI185" s="408" t="s">
        <v>654</v>
      </c>
      <c r="AJ185" s="420">
        <f>IF(AN185=0,K185,0)</f>
        <v>0</v>
      </c>
      <c r="AK185" s="420">
        <f>IF(AN185=15,K185,0)</f>
        <v>0</v>
      </c>
      <c r="AL185" s="420">
        <f>IF(AN185=21,K185,0)</f>
        <v>0</v>
      </c>
      <c r="AN185" s="420">
        <v>21</v>
      </c>
      <c r="AO185" s="420">
        <f>H185*0.843538461538462</f>
        <v>0</v>
      </c>
      <c r="AP185" s="420">
        <f>H185*(1-0.843538461538462)</f>
        <v>0</v>
      </c>
      <c r="AQ185" s="422" t="s">
        <v>657</v>
      </c>
      <c r="AV185" s="420">
        <f>AW185+AX185</f>
        <v>0</v>
      </c>
      <c r="AW185" s="420">
        <f>G185*AO185</f>
        <v>0</v>
      </c>
      <c r="AX185" s="420">
        <f>G185*AP185</f>
        <v>0</v>
      </c>
      <c r="AY185" s="422" t="s">
        <v>1430</v>
      </c>
      <c r="AZ185" s="422" t="s">
        <v>833</v>
      </c>
      <c r="BA185" s="408" t="s">
        <v>662</v>
      </c>
      <c r="BC185" s="420">
        <f>AW185+AX185</f>
        <v>0</v>
      </c>
      <c r="BD185" s="420">
        <f>H185/(100-BE185)*100</f>
        <v>0</v>
      </c>
      <c r="BE185" s="420">
        <v>0</v>
      </c>
      <c r="BF185" s="420">
        <f>M185</f>
        <v>68.285700000000006</v>
      </c>
      <c r="BH185" s="420">
        <f>G185*AO185</f>
        <v>0</v>
      </c>
      <c r="BI185" s="420">
        <f>G185*AP185</f>
        <v>0</v>
      </c>
      <c r="BJ185" s="420">
        <f>G185*H185</f>
        <v>0</v>
      </c>
      <c r="BK185" s="420"/>
      <c r="BL185" s="420">
        <v>56</v>
      </c>
    </row>
    <row r="186" spans="1:64" ht="15" customHeight="1">
      <c r="A186" s="423"/>
      <c r="D186" s="424" t="s">
        <v>1432</v>
      </c>
      <c r="E186" s="424" t="s">
        <v>654</v>
      </c>
      <c r="G186" s="425">
        <v>180.65</v>
      </c>
      <c r="N186" s="426"/>
    </row>
    <row r="187" spans="1:64" ht="15" customHeight="1">
      <c r="A187" s="416" t="s">
        <v>654</v>
      </c>
      <c r="B187" s="417" t="s">
        <v>654</v>
      </c>
      <c r="C187" s="417" t="s">
        <v>842</v>
      </c>
      <c r="D187" s="455" t="s">
        <v>843</v>
      </c>
      <c r="E187" s="455"/>
      <c r="F187" s="418" t="s">
        <v>608</v>
      </c>
      <c r="G187" s="418" t="s">
        <v>608</v>
      </c>
      <c r="H187" s="418"/>
      <c r="I187" s="400">
        <f>SUM(I188:I194)</f>
        <v>0</v>
      </c>
      <c r="J187" s="400">
        <f>SUM(J188:J194)</f>
        <v>0</v>
      </c>
      <c r="K187" s="400">
        <f>SUM(K188:K194)</f>
        <v>0</v>
      </c>
      <c r="L187" s="408" t="s">
        <v>654</v>
      </c>
      <c r="M187" s="400">
        <f>SUM(M188:M194)</f>
        <v>98.975459999999998</v>
      </c>
      <c r="N187" s="419" t="s">
        <v>654</v>
      </c>
      <c r="AI187" s="408" t="s">
        <v>654</v>
      </c>
      <c r="AS187" s="400">
        <f>SUM(AJ188:AJ194)</f>
        <v>0</v>
      </c>
      <c r="AT187" s="400">
        <f>SUM(AK188:AK194)</f>
        <v>0</v>
      </c>
      <c r="AU187" s="400">
        <f>SUM(AL188:AL194)</f>
        <v>0</v>
      </c>
    </row>
    <row r="188" spans="1:64" ht="15" customHeight="1">
      <c r="A188" s="401" t="s">
        <v>852</v>
      </c>
      <c r="B188" s="402" t="s">
        <v>654</v>
      </c>
      <c r="C188" s="402" t="s">
        <v>845</v>
      </c>
      <c r="D188" s="440" t="s">
        <v>846</v>
      </c>
      <c r="E188" s="440"/>
      <c r="F188" s="402" t="s">
        <v>40</v>
      </c>
      <c r="G188" s="420">
        <v>879</v>
      </c>
      <c r="H188" s="420"/>
      <c r="I188" s="420">
        <f>G188*AO188</f>
        <v>0</v>
      </c>
      <c r="J188" s="420">
        <f>G188*AP188</f>
        <v>0</v>
      </c>
      <c r="K188" s="420">
        <f>G188*H188</f>
        <v>0</v>
      </c>
      <c r="L188" s="420">
        <v>5.6100000000000004E-3</v>
      </c>
      <c r="M188" s="420">
        <f>G188*L188</f>
        <v>4.93119</v>
      </c>
      <c r="N188" s="421" t="s">
        <v>1358</v>
      </c>
      <c r="Z188" s="420">
        <f>IF(AQ188="5",BJ188,0)</f>
        <v>0</v>
      </c>
      <c r="AB188" s="420">
        <f>IF(AQ188="1",BH188,0)</f>
        <v>0</v>
      </c>
      <c r="AC188" s="420">
        <f>IF(AQ188="1",BI188,0)</f>
        <v>0</v>
      </c>
      <c r="AD188" s="420">
        <f>IF(AQ188="7",BH188,0)</f>
        <v>0</v>
      </c>
      <c r="AE188" s="420">
        <f>IF(AQ188="7",BI188,0)</f>
        <v>0</v>
      </c>
      <c r="AF188" s="420">
        <f>IF(AQ188="2",BH188,0)</f>
        <v>0</v>
      </c>
      <c r="AG188" s="420">
        <f>IF(AQ188="2",BI188,0)</f>
        <v>0</v>
      </c>
      <c r="AH188" s="420">
        <f>IF(AQ188="0",BJ188,0)</f>
        <v>0</v>
      </c>
      <c r="AI188" s="408" t="s">
        <v>654</v>
      </c>
      <c r="AJ188" s="420">
        <f>IF(AN188=0,K188,0)</f>
        <v>0</v>
      </c>
      <c r="AK188" s="420">
        <f>IF(AN188=15,K188,0)</f>
        <v>0</v>
      </c>
      <c r="AL188" s="420">
        <f>IF(AN188=21,K188,0)</f>
        <v>0</v>
      </c>
      <c r="AN188" s="420">
        <v>21</v>
      </c>
      <c r="AO188" s="420">
        <f>H188*0.88329592818211</f>
        <v>0</v>
      </c>
      <c r="AP188" s="420">
        <f>H188*(1-0.88329592818211)</f>
        <v>0</v>
      </c>
      <c r="AQ188" s="422" t="s">
        <v>657</v>
      </c>
      <c r="AV188" s="420">
        <f>AW188+AX188</f>
        <v>0</v>
      </c>
      <c r="AW188" s="420">
        <f>G188*AO188</f>
        <v>0</v>
      </c>
      <c r="AX188" s="420">
        <f>G188*AP188</f>
        <v>0</v>
      </c>
      <c r="AY188" s="422" t="s">
        <v>1433</v>
      </c>
      <c r="AZ188" s="422" t="s">
        <v>833</v>
      </c>
      <c r="BA188" s="408" t="s">
        <v>662</v>
      </c>
      <c r="BC188" s="420">
        <f>AW188+AX188</f>
        <v>0</v>
      </c>
      <c r="BD188" s="420">
        <f>H188/(100-BE188)*100</f>
        <v>0</v>
      </c>
      <c r="BE188" s="420">
        <v>0</v>
      </c>
      <c r="BF188" s="420">
        <f>M188</f>
        <v>4.93119</v>
      </c>
      <c r="BH188" s="420">
        <f>G188*AO188</f>
        <v>0</v>
      </c>
      <c r="BI188" s="420">
        <f>G188*AP188</f>
        <v>0</v>
      </c>
      <c r="BJ188" s="420">
        <f>G188*H188</f>
        <v>0</v>
      </c>
      <c r="BK188" s="420"/>
      <c r="BL188" s="420">
        <v>57</v>
      </c>
    </row>
    <row r="189" spans="1:64" ht="15" customHeight="1">
      <c r="A189" s="423"/>
      <c r="D189" s="424" t="s">
        <v>1431</v>
      </c>
      <c r="E189" s="424" t="s">
        <v>654</v>
      </c>
      <c r="G189" s="425">
        <v>879.00000000000011</v>
      </c>
      <c r="N189" s="426"/>
    </row>
    <row r="190" spans="1:64" ht="15" customHeight="1">
      <c r="A190" s="401" t="s">
        <v>857</v>
      </c>
      <c r="B190" s="402" t="s">
        <v>654</v>
      </c>
      <c r="C190" s="402" t="s">
        <v>847</v>
      </c>
      <c r="D190" s="440" t="s">
        <v>848</v>
      </c>
      <c r="E190" s="440"/>
      <c r="F190" s="402" t="s">
        <v>40</v>
      </c>
      <c r="G190" s="420">
        <v>879</v>
      </c>
      <c r="H190" s="420"/>
      <c r="I190" s="420">
        <f>G190*AO190</f>
        <v>0</v>
      </c>
      <c r="J190" s="420">
        <f>G190*AP190</f>
        <v>0</v>
      </c>
      <c r="K190" s="420">
        <f>G190*H190</f>
        <v>0</v>
      </c>
      <c r="L190" s="420">
        <v>2.9999999999999997E-4</v>
      </c>
      <c r="M190" s="420">
        <f>G190*L190</f>
        <v>0.26369999999999999</v>
      </c>
      <c r="N190" s="421" t="s">
        <v>1358</v>
      </c>
      <c r="Z190" s="420">
        <f>IF(AQ190="5",BJ190,0)</f>
        <v>0</v>
      </c>
      <c r="AB190" s="420">
        <f>IF(AQ190="1",BH190,0)</f>
        <v>0</v>
      </c>
      <c r="AC190" s="420">
        <f>IF(AQ190="1",BI190,0)</f>
        <v>0</v>
      </c>
      <c r="AD190" s="420">
        <f>IF(AQ190="7",BH190,0)</f>
        <v>0</v>
      </c>
      <c r="AE190" s="420">
        <f>IF(AQ190="7",BI190,0)</f>
        <v>0</v>
      </c>
      <c r="AF190" s="420">
        <f>IF(AQ190="2",BH190,0)</f>
        <v>0</v>
      </c>
      <c r="AG190" s="420">
        <f>IF(AQ190="2",BI190,0)</f>
        <v>0</v>
      </c>
      <c r="AH190" s="420">
        <f>IF(AQ190="0",BJ190,0)</f>
        <v>0</v>
      </c>
      <c r="AI190" s="408" t="s">
        <v>654</v>
      </c>
      <c r="AJ190" s="420">
        <f>IF(AN190=0,K190,0)</f>
        <v>0</v>
      </c>
      <c r="AK190" s="420">
        <f>IF(AN190=15,K190,0)</f>
        <v>0</v>
      </c>
      <c r="AL190" s="420">
        <f>IF(AN190=21,K190,0)</f>
        <v>0</v>
      </c>
      <c r="AN190" s="420">
        <v>21</v>
      </c>
      <c r="AO190" s="420">
        <f>H190*0.762068965517241</f>
        <v>0</v>
      </c>
      <c r="AP190" s="420">
        <f>H190*(1-0.762068965517241)</f>
        <v>0</v>
      </c>
      <c r="AQ190" s="422" t="s">
        <v>657</v>
      </c>
      <c r="AV190" s="420">
        <f>AW190+AX190</f>
        <v>0</v>
      </c>
      <c r="AW190" s="420">
        <f>G190*AO190</f>
        <v>0</v>
      </c>
      <c r="AX190" s="420">
        <f>G190*AP190</f>
        <v>0</v>
      </c>
      <c r="AY190" s="422" t="s">
        <v>1433</v>
      </c>
      <c r="AZ190" s="422" t="s">
        <v>833</v>
      </c>
      <c r="BA190" s="408" t="s">
        <v>662</v>
      </c>
      <c r="BC190" s="420">
        <f>AW190+AX190</f>
        <v>0</v>
      </c>
      <c r="BD190" s="420">
        <f>H190/(100-BE190)*100</f>
        <v>0</v>
      </c>
      <c r="BE190" s="420">
        <v>0</v>
      </c>
      <c r="BF190" s="420">
        <f>M190</f>
        <v>0.26369999999999999</v>
      </c>
      <c r="BH190" s="420">
        <f>G190*AO190</f>
        <v>0</v>
      </c>
      <c r="BI190" s="420">
        <f>G190*AP190</f>
        <v>0</v>
      </c>
      <c r="BJ190" s="420">
        <f>G190*H190</f>
        <v>0</v>
      </c>
      <c r="BK190" s="420"/>
      <c r="BL190" s="420">
        <v>57</v>
      </c>
    </row>
    <row r="191" spans="1:64" ht="15" customHeight="1">
      <c r="A191" s="423"/>
      <c r="D191" s="424" t="s">
        <v>1431</v>
      </c>
      <c r="E191" s="424" t="s">
        <v>654</v>
      </c>
      <c r="G191" s="425">
        <v>879.00000000000011</v>
      </c>
      <c r="N191" s="426"/>
    </row>
    <row r="192" spans="1:64" ht="15" customHeight="1">
      <c r="A192" s="401" t="s">
        <v>863</v>
      </c>
      <c r="B192" s="402" t="s">
        <v>654</v>
      </c>
      <c r="C192" s="402" t="s">
        <v>850</v>
      </c>
      <c r="D192" s="440" t="s">
        <v>851</v>
      </c>
      <c r="E192" s="440"/>
      <c r="F192" s="402" t="s">
        <v>40</v>
      </c>
      <c r="G192" s="420">
        <v>879</v>
      </c>
      <c r="H192" s="420"/>
      <c r="I192" s="420">
        <f>G192*AO192</f>
        <v>0</v>
      </c>
      <c r="J192" s="420">
        <f>G192*AP192</f>
        <v>0</v>
      </c>
      <c r="K192" s="420">
        <f>G192*H192</f>
        <v>0</v>
      </c>
      <c r="L192" s="420">
        <v>0.10373</v>
      </c>
      <c r="M192" s="420">
        <f>G192*L192</f>
        <v>91.178669999999997</v>
      </c>
      <c r="N192" s="421" t="s">
        <v>1358</v>
      </c>
      <c r="Z192" s="420">
        <f>IF(AQ192="5",BJ192,0)</f>
        <v>0</v>
      </c>
      <c r="AB192" s="420">
        <f>IF(AQ192="1",BH192,0)</f>
        <v>0</v>
      </c>
      <c r="AC192" s="420">
        <f>IF(AQ192="1",BI192,0)</f>
        <v>0</v>
      </c>
      <c r="AD192" s="420">
        <f>IF(AQ192="7",BH192,0)</f>
        <v>0</v>
      </c>
      <c r="AE192" s="420">
        <f>IF(AQ192="7",BI192,0)</f>
        <v>0</v>
      </c>
      <c r="AF192" s="420">
        <f>IF(AQ192="2",BH192,0)</f>
        <v>0</v>
      </c>
      <c r="AG192" s="420">
        <f>IF(AQ192="2",BI192,0)</f>
        <v>0</v>
      </c>
      <c r="AH192" s="420">
        <f>IF(AQ192="0",BJ192,0)</f>
        <v>0</v>
      </c>
      <c r="AI192" s="408" t="s">
        <v>654</v>
      </c>
      <c r="AJ192" s="420">
        <f>IF(AN192=0,K192,0)</f>
        <v>0</v>
      </c>
      <c r="AK192" s="420">
        <f>IF(AN192=15,K192,0)</f>
        <v>0</v>
      </c>
      <c r="AL192" s="420">
        <f>IF(AN192=21,K192,0)</f>
        <v>0</v>
      </c>
      <c r="AN192" s="420">
        <v>21</v>
      </c>
      <c r="AO192" s="420">
        <f>H192*0.904897196261682</f>
        <v>0</v>
      </c>
      <c r="AP192" s="420">
        <f>H192*(1-0.904897196261682)</f>
        <v>0</v>
      </c>
      <c r="AQ192" s="422" t="s">
        <v>657</v>
      </c>
      <c r="AV192" s="420">
        <f>AW192+AX192</f>
        <v>0</v>
      </c>
      <c r="AW192" s="420">
        <f>G192*AO192</f>
        <v>0</v>
      </c>
      <c r="AX192" s="420">
        <f>G192*AP192</f>
        <v>0</v>
      </c>
      <c r="AY192" s="422" t="s">
        <v>1433</v>
      </c>
      <c r="AZ192" s="422" t="s">
        <v>833</v>
      </c>
      <c r="BA192" s="408" t="s">
        <v>662</v>
      </c>
      <c r="BC192" s="420">
        <f>AW192+AX192</f>
        <v>0</v>
      </c>
      <c r="BD192" s="420">
        <f>H192/(100-BE192)*100</f>
        <v>0</v>
      </c>
      <c r="BE192" s="420">
        <v>0</v>
      </c>
      <c r="BF192" s="420">
        <f>M192</f>
        <v>91.178669999999997</v>
      </c>
      <c r="BH192" s="420">
        <f>G192*AO192</f>
        <v>0</v>
      </c>
      <c r="BI192" s="420">
        <f>G192*AP192</f>
        <v>0</v>
      </c>
      <c r="BJ192" s="420">
        <f>G192*H192</f>
        <v>0</v>
      </c>
      <c r="BK192" s="420"/>
      <c r="BL192" s="420">
        <v>57</v>
      </c>
    </row>
    <row r="193" spans="1:64" ht="15" customHeight="1">
      <c r="A193" s="423"/>
      <c r="D193" s="424" t="s">
        <v>1431</v>
      </c>
      <c r="E193" s="424" t="s">
        <v>654</v>
      </c>
      <c r="G193" s="425">
        <v>879.00000000000011</v>
      </c>
      <c r="N193" s="426"/>
    </row>
    <row r="194" spans="1:64" ht="15" customHeight="1">
      <c r="A194" s="401" t="s">
        <v>868</v>
      </c>
      <c r="B194" s="402" t="s">
        <v>654</v>
      </c>
      <c r="C194" s="402" t="s">
        <v>853</v>
      </c>
      <c r="D194" s="440" t="s">
        <v>854</v>
      </c>
      <c r="E194" s="440"/>
      <c r="F194" s="402" t="s">
        <v>40</v>
      </c>
      <c r="G194" s="420">
        <v>5</v>
      </c>
      <c r="H194" s="420"/>
      <c r="I194" s="420">
        <f>G194*AO194</f>
        <v>0</v>
      </c>
      <c r="J194" s="420">
        <f>G194*AP194</f>
        <v>0</v>
      </c>
      <c r="K194" s="420">
        <f>G194*H194</f>
        <v>0</v>
      </c>
      <c r="L194" s="420">
        <v>0.52037999999999995</v>
      </c>
      <c r="M194" s="420">
        <f>G194*L194</f>
        <v>2.6018999999999997</v>
      </c>
      <c r="N194" s="421" t="s">
        <v>1358</v>
      </c>
      <c r="Z194" s="420">
        <f>IF(AQ194="5",BJ194,0)</f>
        <v>0</v>
      </c>
      <c r="AB194" s="420">
        <f>IF(AQ194="1",BH194,0)</f>
        <v>0</v>
      </c>
      <c r="AC194" s="420">
        <f>IF(AQ194="1",BI194,0)</f>
        <v>0</v>
      </c>
      <c r="AD194" s="420">
        <f>IF(AQ194="7",BH194,0)</f>
        <v>0</v>
      </c>
      <c r="AE194" s="420">
        <f>IF(AQ194="7",BI194,0)</f>
        <v>0</v>
      </c>
      <c r="AF194" s="420">
        <f>IF(AQ194="2",BH194,0)</f>
        <v>0</v>
      </c>
      <c r="AG194" s="420">
        <f>IF(AQ194="2",BI194,0)</f>
        <v>0</v>
      </c>
      <c r="AH194" s="420">
        <f>IF(AQ194="0",BJ194,0)</f>
        <v>0</v>
      </c>
      <c r="AI194" s="408" t="s">
        <v>654</v>
      </c>
      <c r="AJ194" s="420">
        <f>IF(AN194=0,K194,0)</f>
        <v>0</v>
      </c>
      <c r="AK194" s="420">
        <f>IF(AN194=15,K194,0)</f>
        <v>0</v>
      </c>
      <c r="AL194" s="420">
        <f>IF(AN194=21,K194,0)</f>
        <v>0</v>
      </c>
      <c r="AN194" s="420">
        <v>21</v>
      </c>
      <c r="AO194" s="420">
        <f>H194*0.646618579052702</f>
        <v>0</v>
      </c>
      <c r="AP194" s="420">
        <f>H194*(1-0.646618579052702)</f>
        <v>0</v>
      </c>
      <c r="AQ194" s="422" t="s">
        <v>657</v>
      </c>
      <c r="AV194" s="420">
        <f>AW194+AX194</f>
        <v>0</v>
      </c>
      <c r="AW194" s="420">
        <f>G194*AO194</f>
        <v>0</v>
      </c>
      <c r="AX194" s="420">
        <f>G194*AP194</f>
        <v>0</v>
      </c>
      <c r="AY194" s="422" t="s">
        <v>1433</v>
      </c>
      <c r="AZ194" s="422" t="s">
        <v>833</v>
      </c>
      <c r="BA194" s="408" t="s">
        <v>662</v>
      </c>
      <c r="BC194" s="420">
        <f>AW194+AX194</f>
        <v>0</v>
      </c>
      <c r="BD194" s="420">
        <f>H194/(100-BE194)*100</f>
        <v>0</v>
      </c>
      <c r="BE194" s="420">
        <v>0</v>
      </c>
      <c r="BF194" s="420">
        <f>M194</f>
        <v>2.6018999999999997</v>
      </c>
      <c r="BH194" s="420">
        <f>G194*AO194</f>
        <v>0</v>
      </c>
      <c r="BI194" s="420">
        <f>G194*AP194</f>
        <v>0</v>
      </c>
      <c r="BJ194" s="420">
        <f>G194*H194</f>
        <v>0</v>
      </c>
      <c r="BK194" s="420"/>
      <c r="BL194" s="420">
        <v>57</v>
      </c>
    </row>
    <row r="195" spans="1:64" ht="15" customHeight="1">
      <c r="A195" s="423"/>
      <c r="D195" s="424" t="s">
        <v>1434</v>
      </c>
      <c r="E195" s="424" t="s">
        <v>654</v>
      </c>
      <c r="G195" s="425">
        <v>5</v>
      </c>
      <c r="N195" s="426"/>
    </row>
    <row r="196" spans="1:64" ht="15" customHeight="1">
      <c r="A196" s="416" t="s">
        <v>654</v>
      </c>
      <c r="B196" s="417" t="s">
        <v>654</v>
      </c>
      <c r="C196" s="417" t="s">
        <v>855</v>
      </c>
      <c r="D196" s="455" t="s">
        <v>856</v>
      </c>
      <c r="E196" s="455"/>
      <c r="F196" s="418" t="s">
        <v>608</v>
      </c>
      <c r="G196" s="418" t="s">
        <v>608</v>
      </c>
      <c r="H196" s="418"/>
      <c r="I196" s="400">
        <f>SUM(I197:I197)</f>
        <v>0</v>
      </c>
      <c r="J196" s="400">
        <f>SUM(J197:J197)</f>
        <v>0</v>
      </c>
      <c r="K196" s="400">
        <f>SUM(K197:K197)</f>
        <v>0</v>
      </c>
      <c r="L196" s="408" t="s">
        <v>654</v>
      </c>
      <c r="M196" s="400">
        <f>SUM(M197:M197)</f>
        <v>13.350035</v>
      </c>
      <c r="N196" s="419" t="s">
        <v>654</v>
      </c>
      <c r="AI196" s="408" t="s">
        <v>654</v>
      </c>
      <c r="AS196" s="400">
        <f>SUM(AJ197:AJ197)</f>
        <v>0</v>
      </c>
      <c r="AT196" s="400">
        <f>SUM(AK197:AK197)</f>
        <v>0</v>
      </c>
      <c r="AU196" s="400">
        <f>SUM(AL197:AL197)</f>
        <v>0</v>
      </c>
    </row>
    <row r="197" spans="1:64" ht="15" customHeight="1">
      <c r="A197" s="401" t="s">
        <v>872</v>
      </c>
      <c r="B197" s="402" t="s">
        <v>654</v>
      </c>
      <c r="C197" s="402" t="s">
        <v>858</v>
      </c>
      <c r="D197" s="440" t="s">
        <v>859</v>
      </c>
      <c r="E197" s="440"/>
      <c r="F197" s="402" t="s">
        <v>40</v>
      </c>
      <c r="G197" s="420">
        <v>180.65</v>
      </c>
      <c r="H197" s="420"/>
      <c r="I197" s="420">
        <f>G197*AO197</f>
        <v>0</v>
      </c>
      <c r="J197" s="420">
        <f>G197*AP197</f>
        <v>0</v>
      </c>
      <c r="K197" s="420">
        <f>G197*H197</f>
        <v>0</v>
      </c>
      <c r="L197" s="420">
        <v>7.3899999999999993E-2</v>
      </c>
      <c r="M197" s="420">
        <f>G197*L197</f>
        <v>13.350035</v>
      </c>
      <c r="N197" s="421" t="s">
        <v>1358</v>
      </c>
      <c r="Z197" s="420">
        <f>IF(AQ197="5",BJ197,0)</f>
        <v>0</v>
      </c>
      <c r="AB197" s="420">
        <f>IF(AQ197="1",BH197,0)</f>
        <v>0</v>
      </c>
      <c r="AC197" s="420">
        <f>IF(AQ197="1",BI197,0)</f>
        <v>0</v>
      </c>
      <c r="AD197" s="420">
        <f>IF(AQ197="7",BH197,0)</f>
        <v>0</v>
      </c>
      <c r="AE197" s="420">
        <f>IF(AQ197="7",BI197,0)</f>
        <v>0</v>
      </c>
      <c r="AF197" s="420">
        <f>IF(AQ197="2",BH197,0)</f>
        <v>0</v>
      </c>
      <c r="AG197" s="420">
        <f>IF(AQ197="2",BI197,0)</f>
        <v>0</v>
      </c>
      <c r="AH197" s="420">
        <f>IF(AQ197="0",BJ197,0)</f>
        <v>0</v>
      </c>
      <c r="AI197" s="408" t="s">
        <v>654</v>
      </c>
      <c r="AJ197" s="420">
        <f>IF(AN197=0,K197,0)</f>
        <v>0</v>
      </c>
      <c r="AK197" s="420">
        <f>IF(AN197=15,K197,0)</f>
        <v>0</v>
      </c>
      <c r="AL197" s="420">
        <f>IF(AN197=21,K197,0)</f>
        <v>0</v>
      </c>
      <c r="AN197" s="420">
        <v>21</v>
      </c>
      <c r="AO197" s="420">
        <f>H197*0.149452054794521</f>
        <v>0</v>
      </c>
      <c r="AP197" s="420">
        <f>H197*(1-0.149452054794521)</f>
        <v>0</v>
      </c>
      <c r="AQ197" s="422" t="s">
        <v>657</v>
      </c>
      <c r="AV197" s="420">
        <f>AW197+AX197</f>
        <v>0</v>
      </c>
      <c r="AW197" s="420">
        <f>G197*AO197</f>
        <v>0</v>
      </c>
      <c r="AX197" s="420">
        <f>G197*AP197</f>
        <v>0</v>
      </c>
      <c r="AY197" s="422" t="s">
        <v>860</v>
      </c>
      <c r="AZ197" s="422" t="s">
        <v>833</v>
      </c>
      <c r="BA197" s="408" t="s">
        <v>662</v>
      </c>
      <c r="BC197" s="420">
        <f>AW197+AX197</f>
        <v>0</v>
      </c>
      <c r="BD197" s="420">
        <f>H197/(100-BE197)*100</f>
        <v>0</v>
      </c>
      <c r="BE197" s="420">
        <v>0</v>
      </c>
      <c r="BF197" s="420">
        <f>M197</f>
        <v>13.350035</v>
      </c>
      <c r="BH197" s="420">
        <f>G197*AO197</f>
        <v>0</v>
      </c>
      <c r="BI197" s="420">
        <f>G197*AP197</f>
        <v>0</v>
      </c>
      <c r="BJ197" s="420">
        <f>G197*H197</f>
        <v>0</v>
      </c>
      <c r="BK197" s="420"/>
      <c r="BL197" s="420">
        <v>59</v>
      </c>
    </row>
    <row r="198" spans="1:64" ht="15" customHeight="1">
      <c r="A198" s="423"/>
      <c r="D198" s="424" t="s">
        <v>1435</v>
      </c>
      <c r="E198" s="424" t="s">
        <v>654</v>
      </c>
      <c r="G198" s="425">
        <v>180.65</v>
      </c>
      <c r="N198" s="426"/>
    </row>
    <row r="199" spans="1:64" ht="15" customHeight="1">
      <c r="A199" s="416" t="s">
        <v>654</v>
      </c>
      <c r="B199" s="417" t="s">
        <v>654</v>
      </c>
      <c r="C199" s="417" t="s">
        <v>861</v>
      </c>
      <c r="D199" s="455" t="s">
        <v>862</v>
      </c>
      <c r="E199" s="455"/>
      <c r="F199" s="418" t="s">
        <v>608</v>
      </c>
      <c r="G199" s="418" t="s">
        <v>608</v>
      </c>
      <c r="H199" s="418"/>
      <c r="I199" s="400">
        <f>SUM(I200:I208)</f>
        <v>0</v>
      </c>
      <c r="J199" s="400">
        <f>SUM(J200:J208)</f>
        <v>0</v>
      </c>
      <c r="K199" s="400">
        <f>SUM(K200:K208)</f>
        <v>0</v>
      </c>
      <c r="L199" s="408" t="s">
        <v>654</v>
      </c>
      <c r="M199" s="400">
        <f>SUM(M200:M208)</f>
        <v>0.39082381499999996</v>
      </c>
      <c r="N199" s="419" t="s">
        <v>654</v>
      </c>
      <c r="AI199" s="408" t="s">
        <v>654</v>
      </c>
      <c r="AS199" s="400">
        <f>SUM(AJ200:AJ208)</f>
        <v>0</v>
      </c>
      <c r="AT199" s="400">
        <f>SUM(AK200:AK208)</f>
        <v>0</v>
      </c>
      <c r="AU199" s="400">
        <f>SUM(AL200:AL208)</f>
        <v>0</v>
      </c>
    </row>
    <row r="200" spans="1:64" ht="15" customHeight="1">
      <c r="A200" s="401" t="s">
        <v>876</v>
      </c>
      <c r="B200" s="402" t="s">
        <v>654</v>
      </c>
      <c r="C200" s="402" t="s">
        <v>864</v>
      </c>
      <c r="D200" s="440" t="s">
        <v>865</v>
      </c>
      <c r="E200" s="440"/>
      <c r="F200" s="402" t="s">
        <v>7</v>
      </c>
      <c r="G200" s="420">
        <v>34.61</v>
      </c>
      <c r="H200" s="420"/>
      <c r="I200" s="420">
        <f>G200*AO200</f>
        <v>0</v>
      </c>
      <c r="J200" s="420">
        <f>G200*AP200</f>
        <v>0</v>
      </c>
      <c r="K200" s="420">
        <f>G200*H200</f>
        <v>0</v>
      </c>
      <c r="L200" s="420">
        <v>3.1E-4</v>
      </c>
      <c r="M200" s="420">
        <f>G200*L200</f>
        <v>1.07291E-2</v>
      </c>
      <c r="N200" s="421" t="s">
        <v>1358</v>
      </c>
      <c r="Z200" s="420">
        <f>IF(AQ200="5",BJ200,0)</f>
        <v>0</v>
      </c>
      <c r="AB200" s="420">
        <f>IF(AQ200="1",BH200,0)</f>
        <v>0</v>
      </c>
      <c r="AC200" s="420">
        <f>IF(AQ200="1",BI200,0)</f>
        <v>0</v>
      </c>
      <c r="AD200" s="420">
        <f>IF(AQ200="7",BH200,0)</f>
        <v>0</v>
      </c>
      <c r="AE200" s="420">
        <f>IF(AQ200="7",BI200,0)</f>
        <v>0</v>
      </c>
      <c r="AF200" s="420">
        <f>IF(AQ200="2",BH200,0)</f>
        <v>0</v>
      </c>
      <c r="AG200" s="420">
        <f>IF(AQ200="2",BI200,0)</f>
        <v>0</v>
      </c>
      <c r="AH200" s="420">
        <f>IF(AQ200="0",BJ200,0)</f>
        <v>0</v>
      </c>
      <c r="AI200" s="408" t="s">
        <v>654</v>
      </c>
      <c r="AJ200" s="420">
        <f>IF(AN200=0,K200,0)</f>
        <v>0</v>
      </c>
      <c r="AK200" s="420">
        <f>IF(AN200=15,K200,0)</f>
        <v>0</v>
      </c>
      <c r="AL200" s="420">
        <f>IF(AN200=21,K200,0)</f>
        <v>0</v>
      </c>
      <c r="AN200" s="420">
        <v>21</v>
      </c>
      <c r="AO200" s="420">
        <f>H200*0.0321467426413513</f>
        <v>0</v>
      </c>
      <c r="AP200" s="420">
        <f>H200*(1-0.0321467426413513)</f>
        <v>0</v>
      </c>
      <c r="AQ200" s="422" t="s">
        <v>686</v>
      </c>
      <c r="AV200" s="420">
        <f>AW200+AX200</f>
        <v>0</v>
      </c>
      <c r="AW200" s="420">
        <f>G200*AO200</f>
        <v>0</v>
      </c>
      <c r="AX200" s="420">
        <f>G200*AP200</f>
        <v>0</v>
      </c>
      <c r="AY200" s="422" t="s">
        <v>1436</v>
      </c>
      <c r="AZ200" s="422" t="s">
        <v>1437</v>
      </c>
      <c r="BA200" s="408" t="s">
        <v>662</v>
      </c>
      <c r="BC200" s="420">
        <f>AW200+AX200</f>
        <v>0</v>
      </c>
      <c r="BD200" s="420">
        <f>H200/(100-BE200)*100</f>
        <v>0</v>
      </c>
      <c r="BE200" s="420">
        <v>0</v>
      </c>
      <c r="BF200" s="420">
        <f>M200</f>
        <v>1.07291E-2</v>
      </c>
      <c r="BH200" s="420">
        <f>G200*AO200</f>
        <v>0</v>
      </c>
      <c r="BI200" s="420">
        <f>G200*AP200</f>
        <v>0</v>
      </c>
      <c r="BJ200" s="420">
        <f>G200*H200</f>
        <v>0</v>
      </c>
      <c r="BK200" s="420"/>
      <c r="BL200" s="420">
        <v>722</v>
      </c>
    </row>
    <row r="201" spans="1:64" ht="15" customHeight="1">
      <c r="A201" s="423"/>
      <c r="D201" s="424" t="s">
        <v>866</v>
      </c>
      <c r="E201" s="424" t="s">
        <v>654</v>
      </c>
      <c r="G201" s="425">
        <v>21.110000000000003</v>
      </c>
      <c r="N201" s="426"/>
    </row>
    <row r="202" spans="1:64" ht="15" customHeight="1">
      <c r="A202" s="423"/>
      <c r="D202" s="424" t="s">
        <v>867</v>
      </c>
      <c r="E202" s="424" t="s">
        <v>654</v>
      </c>
      <c r="G202" s="425">
        <v>13.500000000000002</v>
      </c>
      <c r="N202" s="426"/>
    </row>
    <row r="203" spans="1:64" ht="15" customHeight="1">
      <c r="A203" s="401" t="s">
        <v>882</v>
      </c>
      <c r="B203" s="402" t="s">
        <v>654</v>
      </c>
      <c r="C203" s="402" t="s">
        <v>869</v>
      </c>
      <c r="D203" s="440" t="s">
        <v>870</v>
      </c>
      <c r="E203" s="440"/>
      <c r="F203" s="402" t="s">
        <v>7</v>
      </c>
      <c r="G203" s="420">
        <v>36.340499999999999</v>
      </c>
      <c r="H203" s="420"/>
      <c r="I203" s="420">
        <f>G203*AO203</f>
        <v>0</v>
      </c>
      <c r="J203" s="420">
        <f>G203*AP203</f>
        <v>0</v>
      </c>
      <c r="K203" s="420">
        <f>G203*H203</f>
        <v>0</v>
      </c>
      <c r="L203" s="420">
        <v>9.0299999999999998E-3</v>
      </c>
      <c r="M203" s="420">
        <f>G203*L203</f>
        <v>0.32815471499999999</v>
      </c>
      <c r="N203" s="421" t="s">
        <v>654</v>
      </c>
      <c r="Z203" s="420">
        <f>IF(AQ203="5",BJ203,0)</f>
        <v>0</v>
      </c>
      <c r="AB203" s="420">
        <f>IF(AQ203="1",BH203,0)</f>
        <v>0</v>
      </c>
      <c r="AC203" s="420">
        <f>IF(AQ203="1",BI203,0)</f>
        <v>0</v>
      </c>
      <c r="AD203" s="420">
        <f>IF(AQ203="7",BH203,0)</f>
        <v>0</v>
      </c>
      <c r="AE203" s="420">
        <f>IF(AQ203="7",BI203,0)</f>
        <v>0</v>
      </c>
      <c r="AF203" s="420">
        <f>IF(AQ203="2",BH203,0)</f>
        <v>0</v>
      </c>
      <c r="AG203" s="420">
        <f>IF(AQ203="2",BI203,0)</f>
        <v>0</v>
      </c>
      <c r="AH203" s="420">
        <f>IF(AQ203="0",BJ203,0)</f>
        <v>0</v>
      </c>
      <c r="AI203" s="408" t="s">
        <v>654</v>
      </c>
      <c r="AJ203" s="420">
        <f>IF(AN203=0,K203,0)</f>
        <v>0</v>
      </c>
      <c r="AK203" s="420">
        <f>IF(AN203=15,K203,0)</f>
        <v>0</v>
      </c>
      <c r="AL203" s="420">
        <f>IF(AN203=21,K203,0)</f>
        <v>0</v>
      </c>
      <c r="AN203" s="420">
        <v>21</v>
      </c>
      <c r="AO203" s="420">
        <f>H203*1</f>
        <v>0</v>
      </c>
      <c r="AP203" s="420">
        <f>H203*(1-1)</f>
        <v>0</v>
      </c>
      <c r="AQ203" s="422" t="s">
        <v>686</v>
      </c>
      <c r="AV203" s="420">
        <f>AW203+AX203</f>
        <v>0</v>
      </c>
      <c r="AW203" s="420">
        <f>G203*AO203</f>
        <v>0</v>
      </c>
      <c r="AX203" s="420">
        <f>G203*AP203</f>
        <v>0</v>
      </c>
      <c r="AY203" s="422" t="s">
        <v>1436</v>
      </c>
      <c r="AZ203" s="422" t="s">
        <v>1437</v>
      </c>
      <c r="BA203" s="408" t="s">
        <v>662</v>
      </c>
      <c r="BC203" s="420">
        <f>AW203+AX203</f>
        <v>0</v>
      </c>
      <c r="BD203" s="420">
        <f>H203/(100-BE203)*100</f>
        <v>0</v>
      </c>
      <c r="BE203" s="420">
        <v>0</v>
      </c>
      <c r="BF203" s="420">
        <f>M203</f>
        <v>0.32815471499999999</v>
      </c>
      <c r="BH203" s="420">
        <f>G203*AO203</f>
        <v>0</v>
      </c>
      <c r="BI203" s="420">
        <f>G203*AP203</f>
        <v>0</v>
      </c>
      <c r="BJ203" s="420">
        <f>G203*H203</f>
        <v>0</v>
      </c>
      <c r="BK203" s="420"/>
      <c r="BL203" s="420">
        <v>722</v>
      </c>
    </row>
    <row r="204" spans="1:64" ht="15" customHeight="1">
      <c r="A204" s="423"/>
      <c r="D204" s="424" t="s">
        <v>1438</v>
      </c>
      <c r="E204" s="424" t="s">
        <v>654</v>
      </c>
      <c r="G204" s="425">
        <v>36.340500000000006</v>
      </c>
      <c r="N204" s="426"/>
    </row>
    <row r="205" spans="1:64" ht="15" customHeight="1">
      <c r="A205" s="423"/>
      <c r="D205" s="424" t="s">
        <v>871</v>
      </c>
      <c r="E205" s="424" t="s">
        <v>654</v>
      </c>
      <c r="G205" s="425">
        <v>0</v>
      </c>
      <c r="N205" s="426"/>
    </row>
    <row r="206" spans="1:64" ht="15" customHeight="1">
      <c r="A206" s="401" t="s">
        <v>887</v>
      </c>
      <c r="B206" s="402" t="s">
        <v>654</v>
      </c>
      <c r="C206" s="402" t="s">
        <v>873</v>
      </c>
      <c r="D206" s="440" t="s">
        <v>874</v>
      </c>
      <c r="E206" s="440"/>
      <c r="F206" s="402" t="s">
        <v>660</v>
      </c>
      <c r="G206" s="420">
        <v>1</v>
      </c>
      <c r="H206" s="420"/>
      <c r="I206" s="420">
        <f>G206*AO206</f>
        <v>0</v>
      </c>
      <c r="J206" s="420">
        <f>G206*AP206</f>
        <v>0</v>
      </c>
      <c r="K206" s="420">
        <f>G206*H206</f>
        <v>0</v>
      </c>
      <c r="L206" s="420">
        <v>0</v>
      </c>
      <c r="M206" s="420">
        <f>G206*L206</f>
        <v>0</v>
      </c>
      <c r="N206" s="421" t="s">
        <v>654</v>
      </c>
      <c r="Z206" s="420">
        <f>IF(AQ206="5",BJ206,0)</f>
        <v>0</v>
      </c>
      <c r="AB206" s="420">
        <f>IF(AQ206="1",BH206,0)</f>
        <v>0</v>
      </c>
      <c r="AC206" s="420">
        <f>IF(AQ206="1",BI206,0)</f>
        <v>0</v>
      </c>
      <c r="AD206" s="420">
        <f>IF(AQ206="7",BH206,0)</f>
        <v>0</v>
      </c>
      <c r="AE206" s="420">
        <f>IF(AQ206="7",BI206,0)</f>
        <v>0</v>
      </c>
      <c r="AF206" s="420">
        <f>IF(AQ206="2",BH206,0)</f>
        <v>0</v>
      </c>
      <c r="AG206" s="420">
        <f>IF(AQ206="2",BI206,0)</f>
        <v>0</v>
      </c>
      <c r="AH206" s="420">
        <f>IF(AQ206="0",BJ206,0)</f>
        <v>0</v>
      </c>
      <c r="AI206" s="408" t="s">
        <v>654</v>
      </c>
      <c r="AJ206" s="420">
        <f>IF(AN206=0,K206,0)</f>
        <v>0</v>
      </c>
      <c r="AK206" s="420">
        <f>IF(AN206=15,K206,0)</f>
        <v>0</v>
      </c>
      <c r="AL206" s="420">
        <f>IF(AN206=21,K206,0)</f>
        <v>0</v>
      </c>
      <c r="AN206" s="420">
        <v>21</v>
      </c>
      <c r="AO206" s="420">
        <f>H206*0.666666</f>
        <v>0</v>
      </c>
      <c r="AP206" s="420">
        <f>H206*(1-0.666666)</f>
        <v>0</v>
      </c>
      <c r="AQ206" s="422" t="s">
        <v>686</v>
      </c>
      <c r="AV206" s="420">
        <f>AW206+AX206</f>
        <v>0</v>
      </c>
      <c r="AW206" s="420">
        <f>G206*AO206</f>
        <v>0</v>
      </c>
      <c r="AX206" s="420">
        <f>G206*AP206</f>
        <v>0</v>
      </c>
      <c r="AY206" s="422" t="s">
        <v>1436</v>
      </c>
      <c r="AZ206" s="422" t="s">
        <v>1437</v>
      </c>
      <c r="BA206" s="408" t="s">
        <v>662</v>
      </c>
      <c r="BC206" s="420">
        <f>AW206+AX206</f>
        <v>0</v>
      </c>
      <c r="BD206" s="420">
        <f>H206/(100-BE206)*100</f>
        <v>0</v>
      </c>
      <c r="BE206" s="420">
        <v>0</v>
      </c>
      <c r="BF206" s="420">
        <f>M206</f>
        <v>0</v>
      </c>
      <c r="BH206" s="420">
        <f>G206*AO206</f>
        <v>0</v>
      </c>
      <c r="BI206" s="420">
        <f>G206*AP206</f>
        <v>0</v>
      </c>
      <c r="BJ206" s="420">
        <f>G206*H206</f>
        <v>0</v>
      </c>
      <c r="BK206" s="420"/>
      <c r="BL206" s="420">
        <v>722</v>
      </c>
    </row>
    <row r="207" spans="1:64" ht="15" customHeight="1">
      <c r="A207" s="423"/>
      <c r="D207" s="424" t="s">
        <v>875</v>
      </c>
      <c r="E207" s="424" t="s">
        <v>654</v>
      </c>
      <c r="G207" s="425">
        <v>1</v>
      </c>
      <c r="N207" s="426"/>
    </row>
    <row r="208" spans="1:64" ht="15" customHeight="1">
      <c r="A208" s="401" t="s">
        <v>893</v>
      </c>
      <c r="B208" s="402" t="s">
        <v>654</v>
      </c>
      <c r="C208" s="402" t="s">
        <v>877</v>
      </c>
      <c r="D208" s="440" t="s">
        <v>878</v>
      </c>
      <c r="E208" s="440"/>
      <c r="F208" s="402" t="s">
        <v>14</v>
      </c>
      <c r="G208" s="420">
        <v>7</v>
      </c>
      <c r="H208" s="420"/>
      <c r="I208" s="420">
        <f>G208*AO208</f>
        <v>0</v>
      </c>
      <c r="J208" s="420">
        <f>G208*AP208</f>
        <v>0</v>
      </c>
      <c r="K208" s="420">
        <f>G208*H208</f>
        <v>0</v>
      </c>
      <c r="L208" s="420">
        <v>7.4200000000000004E-3</v>
      </c>
      <c r="M208" s="420">
        <f>G208*L208</f>
        <v>5.194E-2</v>
      </c>
      <c r="N208" s="421" t="s">
        <v>1358</v>
      </c>
      <c r="Z208" s="420">
        <f>IF(AQ208="5",BJ208,0)</f>
        <v>0</v>
      </c>
      <c r="AB208" s="420">
        <f>IF(AQ208="1",BH208,0)</f>
        <v>0</v>
      </c>
      <c r="AC208" s="420">
        <f>IF(AQ208="1",BI208,0)</f>
        <v>0</v>
      </c>
      <c r="AD208" s="420">
        <f>IF(AQ208="7",BH208,0)</f>
        <v>0</v>
      </c>
      <c r="AE208" s="420">
        <f>IF(AQ208="7",BI208,0)</f>
        <v>0</v>
      </c>
      <c r="AF208" s="420">
        <f>IF(AQ208="2",BH208,0)</f>
        <v>0</v>
      </c>
      <c r="AG208" s="420">
        <f>IF(AQ208="2",BI208,0)</f>
        <v>0</v>
      </c>
      <c r="AH208" s="420">
        <f>IF(AQ208="0",BJ208,0)</f>
        <v>0</v>
      </c>
      <c r="AI208" s="408" t="s">
        <v>654</v>
      </c>
      <c r="AJ208" s="420">
        <f>IF(AN208=0,K208,0)</f>
        <v>0</v>
      </c>
      <c r="AK208" s="420">
        <f>IF(AN208=15,K208,0)</f>
        <v>0</v>
      </c>
      <c r="AL208" s="420">
        <f>IF(AN208=21,K208,0)</f>
        <v>0</v>
      </c>
      <c r="AN208" s="420">
        <v>21</v>
      </c>
      <c r="AO208" s="420">
        <f>H208*0.407378238341969</f>
        <v>0</v>
      </c>
      <c r="AP208" s="420">
        <f>H208*(1-0.407378238341969)</f>
        <v>0</v>
      </c>
      <c r="AQ208" s="422" t="s">
        <v>686</v>
      </c>
      <c r="AV208" s="420">
        <f>AW208+AX208</f>
        <v>0</v>
      </c>
      <c r="AW208" s="420">
        <f>G208*AO208</f>
        <v>0</v>
      </c>
      <c r="AX208" s="420">
        <f>G208*AP208</f>
        <v>0</v>
      </c>
      <c r="AY208" s="422" t="s">
        <v>1436</v>
      </c>
      <c r="AZ208" s="422" t="s">
        <v>1437</v>
      </c>
      <c r="BA208" s="408" t="s">
        <v>662</v>
      </c>
      <c r="BC208" s="420">
        <f>AW208+AX208</f>
        <v>0</v>
      </c>
      <c r="BD208" s="420">
        <f>H208/(100-BE208)*100</f>
        <v>0</v>
      </c>
      <c r="BE208" s="420">
        <v>0</v>
      </c>
      <c r="BF208" s="420">
        <f>M208</f>
        <v>5.194E-2</v>
      </c>
      <c r="BH208" s="420">
        <f>G208*AO208</f>
        <v>0</v>
      </c>
      <c r="BI208" s="420">
        <f>G208*AP208</f>
        <v>0</v>
      </c>
      <c r="BJ208" s="420">
        <f>G208*H208</f>
        <v>0</v>
      </c>
      <c r="BK208" s="420"/>
      <c r="BL208" s="420">
        <v>722</v>
      </c>
    </row>
    <row r="209" spans="1:64" ht="15" customHeight="1">
      <c r="A209" s="423"/>
      <c r="D209" s="424" t="s">
        <v>879</v>
      </c>
      <c r="E209" s="424" t="s">
        <v>654</v>
      </c>
      <c r="G209" s="425">
        <v>7.0000000000000009</v>
      </c>
      <c r="N209" s="426"/>
    </row>
    <row r="210" spans="1:64" ht="15" customHeight="1">
      <c r="A210" s="416" t="s">
        <v>654</v>
      </c>
      <c r="B210" s="417" t="s">
        <v>654</v>
      </c>
      <c r="C210" s="417" t="s">
        <v>885</v>
      </c>
      <c r="D210" s="455" t="s">
        <v>886</v>
      </c>
      <c r="E210" s="455"/>
      <c r="F210" s="418" t="s">
        <v>608</v>
      </c>
      <c r="G210" s="418" t="s">
        <v>608</v>
      </c>
      <c r="H210" s="418"/>
      <c r="I210" s="400">
        <f>SUM(I211:I258)</f>
        <v>0</v>
      </c>
      <c r="J210" s="400">
        <f>SUM(J211:J258)</f>
        <v>0</v>
      </c>
      <c r="K210" s="400">
        <f>SUM(K211:K258)</f>
        <v>0</v>
      </c>
      <c r="L210" s="408" t="s">
        <v>654</v>
      </c>
      <c r="M210" s="400">
        <f>SUM(M211:M258)</f>
        <v>0.24</v>
      </c>
      <c r="N210" s="419" t="s">
        <v>654</v>
      </c>
      <c r="AI210" s="408" t="s">
        <v>654</v>
      </c>
      <c r="AS210" s="400">
        <f>SUM(AJ211:AJ258)</f>
        <v>0</v>
      </c>
      <c r="AT210" s="400">
        <f>SUM(AK211:AK258)</f>
        <v>0</v>
      </c>
      <c r="AU210" s="400">
        <f>SUM(AL211:AL258)</f>
        <v>0</v>
      </c>
    </row>
    <row r="211" spans="1:64" ht="15" customHeight="1">
      <c r="A211" s="401" t="s">
        <v>828</v>
      </c>
      <c r="B211" s="402" t="s">
        <v>654</v>
      </c>
      <c r="C211" s="402" t="s">
        <v>888</v>
      </c>
      <c r="D211" s="440" t="s">
        <v>889</v>
      </c>
      <c r="E211" s="440"/>
      <c r="F211" s="402" t="s">
        <v>14</v>
      </c>
      <c r="G211" s="420">
        <v>52</v>
      </c>
      <c r="H211" s="420"/>
      <c r="I211" s="420">
        <f>G211*AO211</f>
        <v>0</v>
      </c>
      <c r="J211" s="420">
        <f>G211*AP211</f>
        <v>0</v>
      </c>
      <c r="K211" s="420">
        <f>G211*H211</f>
        <v>0</v>
      </c>
      <c r="L211" s="420">
        <v>0</v>
      </c>
      <c r="M211" s="420">
        <f>G211*L211</f>
        <v>0</v>
      </c>
      <c r="N211" s="421" t="s">
        <v>1358</v>
      </c>
      <c r="Z211" s="420">
        <f>IF(AQ211="5",BJ211,0)</f>
        <v>0</v>
      </c>
      <c r="AB211" s="420">
        <f>IF(AQ211="1",BH211,0)</f>
        <v>0</v>
      </c>
      <c r="AC211" s="420">
        <f>IF(AQ211="1",BI211,0)</f>
        <v>0</v>
      </c>
      <c r="AD211" s="420">
        <f>IF(AQ211="7",BH211,0)</f>
        <v>0</v>
      </c>
      <c r="AE211" s="420">
        <f>IF(AQ211="7",BI211,0)</f>
        <v>0</v>
      </c>
      <c r="AF211" s="420">
        <f>IF(AQ211="2",BH211,0)</f>
        <v>0</v>
      </c>
      <c r="AG211" s="420">
        <f>IF(AQ211="2",BI211,0)</f>
        <v>0</v>
      </c>
      <c r="AH211" s="420">
        <f>IF(AQ211="0",BJ211,0)</f>
        <v>0</v>
      </c>
      <c r="AI211" s="408" t="s">
        <v>654</v>
      </c>
      <c r="AJ211" s="420">
        <f>IF(AN211=0,K211,0)</f>
        <v>0</v>
      </c>
      <c r="AK211" s="420">
        <f>IF(AN211=15,K211,0)</f>
        <v>0</v>
      </c>
      <c r="AL211" s="420">
        <f>IF(AN211=21,K211,0)</f>
        <v>0</v>
      </c>
      <c r="AN211" s="420">
        <v>21</v>
      </c>
      <c r="AO211" s="420">
        <f>H211*0.0000328947368421053</f>
        <v>0</v>
      </c>
      <c r="AP211" s="420">
        <f>H211*(1-0.0000328947368421053)</f>
        <v>0</v>
      </c>
      <c r="AQ211" s="422" t="s">
        <v>657</v>
      </c>
      <c r="AV211" s="420">
        <f>AW211+AX211</f>
        <v>0</v>
      </c>
      <c r="AW211" s="420">
        <f>G211*AO211</f>
        <v>0</v>
      </c>
      <c r="AX211" s="420">
        <f>G211*AP211</f>
        <v>0</v>
      </c>
      <c r="AY211" s="422" t="s">
        <v>890</v>
      </c>
      <c r="AZ211" s="422" t="s">
        <v>891</v>
      </c>
      <c r="BA211" s="408" t="s">
        <v>662</v>
      </c>
      <c r="BC211" s="420">
        <f>AW211+AX211</f>
        <v>0</v>
      </c>
      <c r="BD211" s="420">
        <f>H211/(100-BE211)*100</f>
        <v>0</v>
      </c>
      <c r="BE211" s="420">
        <v>0</v>
      </c>
      <c r="BF211" s="420">
        <f>M211</f>
        <v>0</v>
      </c>
      <c r="BH211" s="420">
        <f>G211*AO211</f>
        <v>0</v>
      </c>
      <c r="BI211" s="420">
        <f>G211*AP211</f>
        <v>0</v>
      </c>
      <c r="BJ211" s="420">
        <f>G211*H211</f>
        <v>0</v>
      </c>
      <c r="BK211" s="420"/>
      <c r="BL211" s="420">
        <v>85</v>
      </c>
    </row>
    <row r="212" spans="1:64" ht="15" customHeight="1">
      <c r="A212" s="423"/>
      <c r="D212" s="424" t="s">
        <v>1439</v>
      </c>
      <c r="E212" s="424" t="s">
        <v>654</v>
      </c>
      <c r="G212" s="425">
        <v>10</v>
      </c>
      <c r="N212" s="426"/>
    </row>
    <row r="213" spans="1:64" ht="15" customHeight="1">
      <c r="A213" s="423"/>
      <c r="D213" s="424" t="s">
        <v>1440</v>
      </c>
      <c r="E213" s="424" t="s">
        <v>654</v>
      </c>
      <c r="G213" s="425">
        <v>10</v>
      </c>
      <c r="N213" s="426"/>
    </row>
    <row r="214" spans="1:64" ht="15" customHeight="1">
      <c r="A214" s="423"/>
      <c r="D214" s="424" t="s">
        <v>1441</v>
      </c>
      <c r="E214" s="424" t="s">
        <v>654</v>
      </c>
      <c r="G214" s="425">
        <v>10</v>
      </c>
      <c r="N214" s="426"/>
    </row>
    <row r="215" spans="1:64" ht="15" customHeight="1">
      <c r="A215" s="423"/>
      <c r="D215" s="424" t="s">
        <v>1442</v>
      </c>
      <c r="E215" s="424" t="s">
        <v>654</v>
      </c>
      <c r="G215" s="425">
        <v>10</v>
      </c>
      <c r="N215" s="426"/>
    </row>
    <row r="216" spans="1:64" ht="15" customHeight="1">
      <c r="A216" s="423"/>
      <c r="D216" s="424" t="s">
        <v>1443</v>
      </c>
      <c r="E216" s="424" t="s">
        <v>654</v>
      </c>
      <c r="G216" s="425">
        <v>10</v>
      </c>
      <c r="N216" s="426"/>
    </row>
    <row r="217" spans="1:64" ht="15" customHeight="1">
      <c r="A217" s="423"/>
      <c r="D217" s="424" t="s">
        <v>892</v>
      </c>
      <c r="E217" s="424" t="s">
        <v>654</v>
      </c>
      <c r="G217" s="425">
        <v>2</v>
      </c>
      <c r="N217" s="426"/>
    </row>
    <row r="218" spans="1:64" ht="15" customHeight="1">
      <c r="A218" s="401" t="s">
        <v>842</v>
      </c>
      <c r="B218" s="402" t="s">
        <v>654</v>
      </c>
      <c r="C218" s="402" t="s">
        <v>894</v>
      </c>
      <c r="D218" s="440" t="s">
        <v>895</v>
      </c>
      <c r="E218" s="440"/>
      <c r="F218" s="402" t="s">
        <v>14</v>
      </c>
      <c r="G218" s="420">
        <v>10</v>
      </c>
      <c r="H218" s="420"/>
      <c r="I218" s="420">
        <f>G218*AO218</f>
        <v>0</v>
      </c>
      <c r="J218" s="420">
        <f>G218*AP218</f>
        <v>0</v>
      </c>
      <c r="K218" s="420">
        <f>G218*H218</f>
        <v>0</v>
      </c>
      <c r="L218" s="420">
        <v>0</v>
      </c>
      <c r="M218" s="420">
        <f>G218*L218</f>
        <v>0</v>
      </c>
      <c r="N218" s="421" t="s">
        <v>654</v>
      </c>
      <c r="Z218" s="420">
        <f>IF(AQ218="5",BJ218,0)</f>
        <v>0</v>
      </c>
      <c r="AB218" s="420">
        <f>IF(AQ218="1",BH218,0)</f>
        <v>0</v>
      </c>
      <c r="AC218" s="420">
        <f>IF(AQ218="1",BI218,0)</f>
        <v>0</v>
      </c>
      <c r="AD218" s="420">
        <f>IF(AQ218="7",BH218,0)</f>
        <v>0</v>
      </c>
      <c r="AE218" s="420">
        <f>IF(AQ218="7",BI218,0)</f>
        <v>0</v>
      </c>
      <c r="AF218" s="420">
        <f>IF(AQ218="2",BH218,0)</f>
        <v>0</v>
      </c>
      <c r="AG218" s="420">
        <f>IF(AQ218="2",BI218,0)</f>
        <v>0</v>
      </c>
      <c r="AH218" s="420">
        <f>IF(AQ218="0",BJ218,0)</f>
        <v>0</v>
      </c>
      <c r="AI218" s="408" t="s">
        <v>654</v>
      </c>
      <c r="AJ218" s="420">
        <f>IF(AN218=0,K218,0)</f>
        <v>0</v>
      </c>
      <c r="AK218" s="420">
        <f>IF(AN218=15,K218,0)</f>
        <v>0</v>
      </c>
      <c r="AL218" s="420">
        <f>IF(AN218=21,K218,0)</f>
        <v>0</v>
      </c>
      <c r="AN218" s="420">
        <v>21</v>
      </c>
      <c r="AO218" s="420">
        <f>H218*1</f>
        <v>0</v>
      </c>
      <c r="AP218" s="420">
        <f>H218*(1-1)</f>
        <v>0</v>
      </c>
      <c r="AQ218" s="422" t="s">
        <v>657</v>
      </c>
      <c r="AV218" s="420">
        <f>AW218+AX218</f>
        <v>0</v>
      </c>
      <c r="AW218" s="420">
        <f>G218*AO218</f>
        <v>0</v>
      </c>
      <c r="AX218" s="420">
        <f>G218*AP218</f>
        <v>0</v>
      </c>
      <c r="AY218" s="422" t="s">
        <v>890</v>
      </c>
      <c r="AZ218" s="422" t="s">
        <v>891</v>
      </c>
      <c r="BA218" s="408" t="s">
        <v>662</v>
      </c>
      <c r="BC218" s="420">
        <f>AW218+AX218</f>
        <v>0</v>
      </c>
      <c r="BD218" s="420">
        <f>H218/(100-BE218)*100</f>
        <v>0</v>
      </c>
      <c r="BE218" s="420">
        <v>0</v>
      </c>
      <c r="BF218" s="420">
        <f>M218</f>
        <v>0</v>
      </c>
      <c r="BH218" s="420">
        <f>G218*AO218</f>
        <v>0</v>
      </c>
      <c r="BI218" s="420">
        <f>G218*AP218</f>
        <v>0</v>
      </c>
      <c r="BJ218" s="420">
        <f>G218*H218</f>
        <v>0</v>
      </c>
      <c r="BK218" s="420"/>
      <c r="BL218" s="420">
        <v>85</v>
      </c>
    </row>
    <row r="219" spans="1:64" ht="15" customHeight="1">
      <c r="A219" s="423"/>
      <c r="D219" s="424" t="s">
        <v>1444</v>
      </c>
      <c r="E219" s="424" t="s">
        <v>654</v>
      </c>
      <c r="G219" s="425">
        <v>3.0000000000000004</v>
      </c>
      <c r="N219" s="426"/>
    </row>
    <row r="220" spans="1:64" ht="15" customHeight="1">
      <c r="A220" s="423"/>
      <c r="D220" s="424" t="s">
        <v>1445</v>
      </c>
      <c r="E220" s="424" t="s">
        <v>654</v>
      </c>
      <c r="G220" s="425">
        <v>4</v>
      </c>
      <c r="N220" s="426"/>
    </row>
    <row r="221" spans="1:64" ht="15" customHeight="1">
      <c r="A221" s="423"/>
      <c r="D221" s="424" t="s">
        <v>1446</v>
      </c>
      <c r="E221" s="424" t="s">
        <v>654</v>
      </c>
      <c r="G221" s="425">
        <v>3.0000000000000004</v>
      </c>
      <c r="N221" s="426"/>
    </row>
    <row r="222" spans="1:64" ht="15" customHeight="1">
      <c r="A222" s="401" t="s">
        <v>900</v>
      </c>
      <c r="B222" s="402" t="s">
        <v>654</v>
      </c>
      <c r="C222" s="402" t="s">
        <v>896</v>
      </c>
      <c r="D222" s="440" t="s">
        <v>897</v>
      </c>
      <c r="E222" s="440"/>
      <c r="F222" s="402" t="s">
        <v>14</v>
      </c>
      <c r="G222" s="420">
        <v>10</v>
      </c>
      <c r="H222" s="420"/>
      <c r="I222" s="420">
        <f>G222*AO222</f>
        <v>0</v>
      </c>
      <c r="J222" s="420">
        <f>G222*AP222</f>
        <v>0</v>
      </c>
      <c r="K222" s="420">
        <f>G222*H222</f>
        <v>0</v>
      </c>
      <c r="L222" s="420">
        <v>0</v>
      </c>
      <c r="M222" s="420">
        <f>G222*L222</f>
        <v>0</v>
      </c>
      <c r="N222" s="421" t="s">
        <v>654</v>
      </c>
      <c r="Z222" s="420">
        <f>IF(AQ222="5",BJ222,0)</f>
        <v>0</v>
      </c>
      <c r="AB222" s="420">
        <f>IF(AQ222="1",BH222,0)</f>
        <v>0</v>
      </c>
      <c r="AC222" s="420">
        <f>IF(AQ222="1",BI222,0)</f>
        <v>0</v>
      </c>
      <c r="AD222" s="420">
        <f>IF(AQ222="7",BH222,0)</f>
        <v>0</v>
      </c>
      <c r="AE222" s="420">
        <f>IF(AQ222="7",BI222,0)</f>
        <v>0</v>
      </c>
      <c r="AF222" s="420">
        <f>IF(AQ222="2",BH222,0)</f>
        <v>0</v>
      </c>
      <c r="AG222" s="420">
        <f>IF(AQ222="2",BI222,0)</f>
        <v>0</v>
      </c>
      <c r="AH222" s="420">
        <f>IF(AQ222="0",BJ222,0)</f>
        <v>0</v>
      </c>
      <c r="AI222" s="408" t="s">
        <v>654</v>
      </c>
      <c r="AJ222" s="420">
        <f>IF(AN222=0,K222,0)</f>
        <v>0</v>
      </c>
      <c r="AK222" s="420">
        <f>IF(AN222=15,K222,0)</f>
        <v>0</v>
      </c>
      <c r="AL222" s="420">
        <f>IF(AN222=21,K222,0)</f>
        <v>0</v>
      </c>
      <c r="AN222" s="420">
        <v>21</v>
      </c>
      <c r="AO222" s="420">
        <f>H222*1</f>
        <v>0</v>
      </c>
      <c r="AP222" s="420">
        <f>H222*(1-1)</f>
        <v>0</v>
      </c>
      <c r="AQ222" s="422" t="s">
        <v>657</v>
      </c>
      <c r="AV222" s="420">
        <f>AW222+AX222</f>
        <v>0</v>
      </c>
      <c r="AW222" s="420">
        <f>G222*AO222</f>
        <v>0</v>
      </c>
      <c r="AX222" s="420">
        <f>G222*AP222</f>
        <v>0</v>
      </c>
      <c r="AY222" s="422" t="s">
        <v>890</v>
      </c>
      <c r="AZ222" s="422" t="s">
        <v>891</v>
      </c>
      <c r="BA222" s="408" t="s">
        <v>662</v>
      </c>
      <c r="BC222" s="420">
        <f>AW222+AX222</f>
        <v>0</v>
      </c>
      <c r="BD222" s="420">
        <f>H222/(100-BE222)*100</f>
        <v>0</v>
      </c>
      <c r="BE222" s="420">
        <v>0</v>
      </c>
      <c r="BF222" s="420">
        <f>M222</f>
        <v>0</v>
      </c>
      <c r="BH222" s="420">
        <f>G222*AO222</f>
        <v>0</v>
      </c>
      <c r="BI222" s="420">
        <f>G222*AP222</f>
        <v>0</v>
      </c>
      <c r="BJ222" s="420">
        <f>G222*H222</f>
        <v>0</v>
      </c>
      <c r="BK222" s="420"/>
      <c r="BL222" s="420">
        <v>85</v>
      </c>
    </row>
    <row r="223" spans="1:64" ht="15" customHeight="1">
      <c r="A223" s="423"/>
      <c r="D223" s="424" t="s">
        <v>1444</v>
      </c>
      <c r="E223" s="424" t="s">
        <v>654</v>
      </c>
      <c r="G223" s="425">
        <v>3.0000000000000004</v>
      </c>
      <c r="N223" s="426"/>
    </row>
    <row r="224" spans="1:64" ht="15" customHeight="1">
      <c r="A224" s="423"/>
      <c r="D224" s="424" t="s">
        <v>1445</v>
      </c>
      <c r="E224" s="424" t="s">
        <v>654</v>
      </c>
      <c r="G224" s="425">
        <v>4</v>
      </c>
      <c r="N224" s="426"/>
    </row>
    <row r="225" spans="1:64" ht="15" customHeight="1">
      <c r="A225" s="423"/>
      <c r="D225" s="424" t="s">
        <v>1446</v>
      </c>
      <c r="E225" s="424" t="s">
        <v>654</v>
      </c>
      <c r="G225" s="425">
        <v>3.0000000000000004</v>
      </c>
      <c r="N225" s="426"/>
    </row>
    <row r="226" spans="1:64" ht="15" customHeight="1">
      <c r="A226" s="401" t="s">
        <v>855</v>
      </c>
      <c r="B226" s="402" t="s">
        <v>654</v>
      </c>
      <c r="C226" s="402" t="s">
        <v>898</v>
      </c>
      <c r="D226" s="440" t="s">
        <v>899</v>
      </c>
      <c r="E226" s="440"/>
      <c r="F226" s="402" t="s">
        <v>14</v>
      </c>
      <c r="G226" s="420">
        <v>10</v>
      </c>
      <c r="H226" s="420"/>
      <c r="I226" s="420">
        <f>G226*AO226</f>
        <v>0</v>
      </c>
      <c r="J226" s="420">
        <f>G226*AP226</f>
        <v>0</v>
      </c>
      <c r="K226" s="420">
        <f>G226*H226</f>
        <v>0</v>
      </c>
      <c r="L226" s="420">
        <v>0</v>
      </c>
      <c r="M226" s="420">
        <f>G226*L226</f>
        <v>0</v>
      </c>
      <c r="N226" s="421" t="s">
        <v>654</v>
      </c>
      <c r="Z226" s="420">
        <f>IF(AQ226="5",BJ226,0)</f>
        <v>0</v>
      </c>
      <c r="AB226" s="420">
        <f>IF(AQ226="1",BH226,0)</f>
        <v>0</v>
      </c>
      <c r="AC226" s="420">
        <f>IF(AQ226="1",BI226,0)</f>
        <v>0</v>
      </c>
      <c r="AD226" s="420">
        <f>IF(AQ226="7",BH226,0)</f>
        <v>0</v>
      </c>
      <c r="AE226" s="420">
        <f>IF(AQ226="7",BI226,0)</f>
        <v>0</v>
      </c>
      <c r="AF226" s="420">
        <f>IF(AQ226="2",BH226,0)</f>
        <v>0</v>
      </c>
      <c r="AG226" s="420">
        <f>IF(AQ226="2",BI226,0)</f>
        <v>0</v>
      </c>
      <c r="AH226" s="420">
        <f>IF(AQ226="0",BJ226,0)</f>
        <v>0</v>
      </c>
      <c r="AI226" s="408" t="s">
        <v>654</v>
      </c>
      <c r="AJ226" s="420">
        <f>IF(AN226=0,K226,0)</f>
        <v>0</v>
      </c>
      <c r="AK226" s="420">
        <f>IF(AN226=15,K226,0)</f>
        <v>0</v>
      </c>
      <c r="AL226" s="420">
        <f>IF(AN226=21,K226,0)</f>
        <v>0</v>
      </c>
      <c r="AN226" s="420">
        <v>21</v>
      </c>
      <c r="AO226" s="420">
        <f>H226*1</f>
        <v>0</v>
      </c>
      <c r="AP226" s="420">
        <f>H226*(1-1)</f>
        <v>0</v>
      </c>
      <c r="AQ226" s="422" t="s">
        <v>657</v>
      </c>
      <c r="AV226" s="420">
        <f>AW226+AX226</f>
        <v>0</v>
      </c>
      <c r="AW226" s="420">
        <f>G226*AO226</f>
        <v>0</v>
      </c>
      <c r="AX226" s="420">
        <f>G226*AP226</f>
        <v>0</v>
      </c>
      <c r="AY226" s="422" t="s">
        <v>890</v>
      </c>
      <c r="AZ226" s="422" t="s">
        <v>891</v>
      </c>
      <c r="BA226" s="408" t="s">
        <v>662</v>
      </c>
      <c r="BC226" s="420">
        <f>AW226+AX226</f>
        <v>0</v>
      </c>
      <c r="BD226" s="420">
        <f>H226/(100-BE226)*100</f>
        <v>0</v>
      </c>
      <c r="BE226" s="420">
        <v>0</v>
      </c>
      <c r="BF226" s="420">
        <f>M226</f>
        <v>0</v>
      </c>
      <c r="BH226" s="420">
        <f>G226*AO226</f>
        <v>0</v>
      </c>
      <c r="BI226" s="420">
        <f>G226*AP226</f>
        <v>0</v>
      </c>
      <c r="BJ226" s="420">
        <f>G226*H226</f>
        <v>0</v>
      </c>
      <c r="BK226" s="420"/>
      <c r="BL226" s="420">
        <v>85</v>
      </c>
    </row>
    <row r="227" spans="1:64" ht="15" customHeight="1">
      <c r="A227" s="423"/>
      <c r="D227" s="424" t="s">
        <v>1444</v>
      </c>
      <c r="E227" s="424" t="s">
        <v>654</v>
      </c>
      <c r="G227" s="425">
        <v>3.0000000000000004</v>
      </c>
      <c r="N227" s="426"/>
    </row>
    <row r="228" spans="1:64" ht="15" customHeight="1">
      <c r="A228" s="423"/>
      <c r="D228" s="424" t="s">
        <v>1445</v>
      </c>
      <c r="E228" s="424" t="s">
        <v>654</v>
      </c>
      <c r="G228" s="425">
        <v>4</v>
      </c>
      <c r="N228" s="426"/>
    </row>
    <row r="229" spans="1:64" ht="15" customHeight="1">
      <c r="A229" s="423"/>
      <c r="D229" s="424" t="s">
        <v>1446</v>
      </c>
      <c r="E229" s="424" t="s">
        <v>654</v>
      </c>
      <c r="G229" s="425">
        <v>3.0000000000000004</v>
      </c>
      <c r="N229" s="426"/>
    </row>
    <row r="230" spans="1:64" ht="15" customHeight="1">
      <c r="A230" s="401" t="s">
        <v>905</v>
      </c>
      <c r="B230" s="402" t="s">
        <v>654</v>
      </c>
      <c r="C230" s="402" t="s">
        <v>901</v>
      </c>
      <c r="D230" s="440" t="s">
        <v>902</v>
      </c>
      <c r="E230" s="440"/>
      <c r="F230" s="402" t="s">
        <v>14</v>
      </c>
      <c r="G230" s="420">
        <v>10</v>
      </c>
      <c r="H230" s="420"/>
      <c r="I230" s="420">
        <f>G230*AO230</f>
        <v>0</v>
      </c>
      <c r="J230" s="420">
        <f>G230*AP230</f>
        <v>0</v>
      </c>
      <c r="K230" s="420">
        <f>G230*H230</f>
        <v>0</v>
      </c>
      <c r="L230" s="420">
        <v>2.4E-2</v>
      </c>
      <c r="M230" s="420">
        <f>G230*L230</f>
        <v>0.24</v>
      </c>
      <c r="N230" s="421" t="s">
        <v>654</v>
      </c>
      <c r="Z230" s="420">
        <f>IF(AQ230="5",BJ230,0)</f>
        <v>0</v>
      </c>
      <c r="AB230" s="420">
        <f>IF(AQ230="1",BH230,0)</f>
        <v>0</v>
      </c>
      <c r="AC230" s="420">
        <f>IF(AQ230="1",BI230,0)</f>
        <v>0</v>
      </c>
      <c r="AD230" s="420">
        <f>IF(AQ230="7",BH230,0)</f>
        <v>0</v>
      </c>
      <c r="AE230" s="420">
        <f>IF(AQ230="7",BI230,0)</f>
        <v>0</v>
      </c>
      <c r="AF230" s="420">
        <f>IF(AQ230="2",BH230,0)</f>
        <v>0</v>
      </c>
      <c r="AG230" s="420">
        <f>IF(AQ230="2",BI230,0)</f>
        <v>0</v>
      </c>
      <c r="AH230" s="420">
        <f>IF(AQ230="0",BJ230,0)</f>
        <v>0</v>
      </c>
      <c r="AI230" s="408" t="s">
        <v>654</v>
      </c>
      <c r="AJ230" s="420">
        <f>IF(AN230=0,K230,0)</f>
        <v>0</v>
      </c>
      <c r="AK230" s="420">
        <f>IF(AN230=15,K230,0)</f>
        <v>0</v>
      </c>
      <c r="AL230" s="420">
        <f>IF(AN230=21,K230,0)</f>
        <v>0</v>
      </c>
      <c r="AN230" s="420">
        <v>21</v>
      </c>
      <c r="AO230" s="420">
        <f>H230*1</f>
        <v>0</v>
      </c>
      <c r="AP230" s="420">
        <f>H230*(1-1)</f>
        <v>0</v>
      </c>
      <c r="AQ230" s="422" t="s">
        <v>657</v>
      </c>
      <c r="AV230" s="420">
        <f>AW230+AX230</f>
        <v>0</v>
      </c>
      <c r="AW230" s="420">
        <f>G230*AO230</f>
        <v>0</v>
      </c>
      <c r="AX230" s="420">
        <f>G230*AP230</f>
        <v>0</v>
      </c>
      <c r="AY230" s="422" t="s">
        <v>890</v>
      </c>
      <c r="AZ230" s="422" t="s">
        <v>891</v>
      </c>
      <c r="BA230" s="408" t="s">
        <v>662</v>
      </c>
      <c r="BC230" s="420">
        <f>AW230+AX230</f>
        <v>0</v>
      </c>
      <c r="BD230" s="420">
        <f>H230/(100-BE230)*100</f>
        <v>0</v>
      </c>
      <c r="BE230" s="420">
        <v>0</v>
      </c>
      <c r="BF230" s="420">
        <f>M230</f>
        <v>0.24</v>
      </c>
      <c r="BH230" s="420">
        <f>G230*AO230</f>
        <v>0</v>
      </c>
      <c r="BI230" s="420">
        <f>G230*AP230</f>
        <v>0</v>
      </c>
      <c r="BJ230" s="420">
        <f>G230*H230</f>
        <v>0</v>
      </c>
      <c r="BK230" s="420"/>
      <c r="BL230" s="420">
        <v>85</v>
      </c>
    </row>
    <row r="231" spans="1:64" ht="15" customHeight="1">
      <c r="A231" s="423"/>
      <c r="D231" s="424" t="s">
        <v>1444</v>
      </c>
      <c r="E231" s="424" t="s">
        <v>654</v>
      </c>
      <c r="G231" s="425">
        <v>3.0000000000000004</v>
      </c>
      <c r="N231" s="426"/>
    </row>
    <row r="232" spans="1:64" ht="15" customHeight="1">
      <c r="A232" s="423"/>
      <c r="D232" s="424" t="s">
        <v>1445</v>
      </c>
      <c r="E232" s="424" t="s">
        <v>654</v>
      </c>
      <c r="G232" s="425">
        <v>4</v>
      </c>
      <c r="N232" s="426"/>
    </row>
    <row r="233" spans="1:64" ht="15" customHeight="1">
      <c r="A233" s="423"/>
      <c r="D233" s="424" t="s">
        <v>1446</v>
      </c>
      <c r="E233" s="424" t="s">
        <v>654</v>
      </c>
      <c r="G233" s="425">
        <v>3.0000000000000004</v>
      </c>
      <c r="N233" s="426"/>
    </row>
    <row r="234" spans="1:64" ht="15" customHeight="1">
      <c r="A234" s="401" t="s">
        <v>909</v>
      </c>
      <c r="B234" s="402" t="s">
        <v>654</v>
      </c>
      <c r="C234" s="402" t="s">
        <v>903</v>
      </c>
      <c r="D234" s="440" t="s">
        <v>904</v>
      </c>
      <c r="E234" s="440"/>
      <c r="F234" s="402" t="s">
        <v>14</v>
      </c>
      <c r="G234" s="420">
        <v>10</v>
      </c>
      <c r="H234" s="420"/>
      <c r="I234" s="420">
        <f>G234*AO234</f>
        <v>0</v>
      </c>
      <c r="J234" s="420">
        <f>G234*AP234</f>
        <v>0</v>
      </c>
      <c r="K234" s="420">
        <f>G234*H234</f>
        <v>0</v>
      </c>
      <c r="L234" s="420">
        <v>0</v>
      </c>
      <c r="M234" s="420">
        <f>G234*L234</f>
        <v>0</v>
      </c>
      <c r="N234" s="421" t="s">
        <v>654</v>
      </c>
      <c r="Z234" s="420">
        <f>IF(AQ234="5",BJ234,0)</f>
        <v>0</v>
      </c>
      <c r="AB234" s="420">
        <f>IF(AQ234="1",BH234,0)</f>
        <v>0</v>
      </c>
      <c r="AC234" s="420">
        <f>IF(AQ234="1",BI234,0)</f>
        <v>0</v>
      </c>
      <c r="AD234" s="420">
        <f>IF(AQ234="7",BH234,0)</f>
        <v>0</v>
      </c>
      <c r="AE234" s="420">
        <f>IF(AQ234="7",BI234,0)</f>
        <v>0</v>
      </c>
      <c r="AF234" s="420">
        <f>IF(AQ234="2",BH234,0)</f>
        <v>0</v>
      </c>
      <c r="AG234" s="420">
        <f>IF(AQ234="2",BI234,0)</f>
        <v>0</v>
      </c>
      <c r="AH234" s="420">
        <f>IF(AQ234="0",BJ234,0)</f>
        <v>0</v>
      </c>
      <c r="AI234" s="408" t="s">
        <v>654</v>
      </c>
      <c r="AJ234" s="420">
        <f>IF(AN234=0,K234,0)</f>
        <v>0</v>
      </c>
      <c r="AK234" s="420">
        <f>IF(AN234=15,K234,0)</f>
        <v>0</v>
      </c>
      <c r="AL234" s="420">
        <f>IF(AN234=21,K234,0)</f>
        <v>0</v>
      </c>
      <c r="AN234" s="420">
        <v>21</v>
      </c>
      <c r="AO234" s="420">
        <f>H234*1</f>
        <v>0</v>
      </c>
      <c r="AP234" s="420">
        <f>H234*(1-1)</f>
        <v>0</v>
      </c>
      <c r="AQ234" s="422" t="s">
        <v>657</v>
      </c>
      <c r="AV234" s="420">
        <f>AW234+AX234</f>
        <v>0</v>
      </c>
      <c r="AW234" s="420">
        <f>G234*AO234</f>
        <v>0</v>
      </c>
      <c r="AX234" s="420">
        <f>G234*AP234</f>
        <v>0</v>
      </c>
      <c r="AY234" s="422" t="s">
        <v>890</v>
      </c>
      <c r="AZ234" s="422" t="s">
        <v>891</v>
      </c>
      <c r="BA234" s="408" t="s">
        <v>662</v>
      </c>
      <c r="BC234" s="420">
        <f>AW234+AX234</f>
        <v>0</v>
      </c>
      <c r="BD234" s="420">
        <f>H234/(100-BE234)*100</f>
        <v>0</v>
      </c>
      <c r="BE234" s="420">
        <v>0</v>
      </c>
      <c r="BF234" s="420">
        <f>M234</f>
        <v>0</v>
      </c>
      <c r="BH234" s="420">
        <f>G234*AO234</f>
        <v>0</v>
      </c>
      <c r="BI234" s="420">
        <f>G234*AP234</f>
        <v>0</v>
      </c>
      <c r="BJ234" s="420">
        <f>G234*H234</f>
        <v>0</v>
      </c>
      <c r="BK234" s="420"/>
      <c r="BL234" s="420">
        <v>85</v>
      </c>
    </row>
    <row r="235" spans="1:64" ht="15" customHeight="1">
      <c r="A235" s="423"/>
      <c r="D235" s="424" t="s">
        <v>1444</v>
      </c>
      <c r="E235" s="424" t="s">
        <v>654</v>
      </c>
      <c r="G235" s="425">
        <v>3.0000000000000004</v>
      </c>
      <c r="N235" s="426"/>
    </row>
    <row r="236" spans="1:64" ht="15" customHeight="1">
      <c r="A236" s="423"/>
      <c r="D236" s="424" t="s">
        <v>1445</v>
      </c>
      <c r="E236" s="424" t="s">
        <v>654</v>
      </c>
      <c r="G236" s="425">
        <v>4</v>
      </c>
      <c r="N236" s="426"/>
    </row>
    <row r="237" spans="1:64" ht="15" customHeight="1">
      <c r="A237" s="423"/>
      <c r="D237" s="424" t="s">
        <v>1446</v>
      </c>
      <c r="E237" s="424" t="s">
        <v>654</v>
      </c>
      <c r="G237" s="425">
        <v>3.0000000000000004</v>
      </c>
      <c r="N237" s="426"/>
    </row>
    <row r="238" spans="1:64" ht="15" customHeight="1">
      <c r="A238" s="401" t="s">
        <v>916</v>
      </c>
      <c r="B238" s="402" t="s">
        <v>654</v>
      </c>
      <c r="C238" s="402" t="s">
        <v>906</v>
      </c>
      <c r="D238" s="440" t="s">
        <v>907</v>
      </c>
      <c r="E238" s="440"/>
      <c r="F238" s="402" t="s">
        <v>14</v>
      </c>
      <c r="G238" s="420">
        <v>2</v>
      </c>
      <c r="H238" s="420"/>
      <c r="I238" s="420">
        <f>G238*AO238</f>
        <v>0</v>
      </c>
      <c r="J238" s="420">
        <f>G238*AP238</f>
        <v>0</v>
      </c>
      <c r="K238" s="420">
        <f>G238*H238</f>
        <v>0</v>
      </c>
      <c r="L238" s="420">
        <v>0</v>
      </c>
      <c r="M238" s="420">
        <f>G238*L238</f>
        <v>0</v>
      </c>
      <c r="N238" s="421" t="s">
        <v>654</v>
      </c>
      <c r="Z238" s="420">
        <f>IF(AQ238="5",BJ238,0)</f>
        <v>0</v>
      </c>
      <c r="AB238" s="420">
        <f>IF(AQ238="1",BH238,0)</f>
        <v>0</v>
      </c>
      <c r="AC238" s="420">
        <f>IF(AQ238="1",BI238,0)</f>
        <v>0</v>
      </c>
      <c r="AD238" s="420">
        <f>IF(AQ238="7",BH238,0)</f>
        <v>0</v>
      </c>
      <c r="AE238" s="420">
        <f>IF(AQ238="7",BI238,0)</f>
        <v>0</v>
      </c>
      <c r="AF238" s="420">
        <f>IF(AQ238="2",BH238,0)</f>
        <v>0</v>
      </c>
      <c r="AG238" s="420">
        <f>IF(AQ238="2",BI238,0)</f>
        <v>0</v>
      </c>
      <c r="AH238" s="420">
        <f>IF(AQ238="0",BJ238,0)</f>
        <v>0</v>
      </c>
      <c r="AI238" s="408" t="s">
        <v>654</v>
      </c>
      <c r="AJ238" s="420">
        <f>IF(AN238=0,K238,0)</f>
        <v>0</v>
      </c>
      <c r="AK238" s="420">
        <f>IF(AN238=15,K238,0)</f>
        <v>0</v>
      </c>
      <c r="AL238" s="420">
        <f>IF(AN238=21,K238,0)</f>
        <v>0</v>
      </c>
      <c r="AN238" s="420">
        <v>21</v>
      </c>
      <c r="AO238" s="420">
        <f>H238*1</f>
        <v>0</v>
      </c>
      <c r="AP238" s="420">
        <f>H238*(1-1)</f>
        <v>0</v>
      </c>
      <c r="AQ238" s="422" t="s">
        <v>657</v>
      </c>
      <c r="AV238" s="420">
        <f>AW238+AX238</f>
        <v>0</v>
      </c>
      <c r="AW238" s="420">
        <f>G238*AO238</f>
        <v>0</v>
      </c>
      <c r="AX238" s="420">
        <f>G238*AP238</f>
        <v>0</v>
      </c>
      <c r="AY238" s="422" t="s">
        <v>890</v>
      </c>
      <c r="AZ238" s="422" t="s">
        <v>891</v>
      </c>
      <c r="BA238" s="408" t="s">
        <v>662</v>
      </c>
      <c r="BC238" s="420">
        <f>AW238+AX238</f>
        <v>0</v>
      </c>
      <c r="BD238" s="420">
        <f>H238/(100-BE238)*100</f>
        <v>0</v>
      </c>
      <c r="BE238" s="420">
        <v>0</v>
      </c>
      <c r="BF238" s="420">
        <f>M238</f>
        <v>0</v>
      </c>
      <c r="BH238" s="420">
        <f>G238*AO238</f>
        <v>0</v>
      </c>
      <c r="BI238" s="420">
        <f>G238*AP238</f>
        <v>0</v>
      </c>
      <c r="BJ238" s="420">
        <f>G238*H238</f>
        <v>0</v>
      </c>
      <c r="BK238" s="420"/>
      <c r="BL238" s="420">
        <v>85</v>
      </c>
    </row>
    <row r="239" spans="1:64" ht="15" customHeight="1">
      <c r="A239" s="423"/>
      <c r="D239" s="424" t="s">
        <v>908</v>
      </c>
      <c r="E239" s="424" t="s">
        <v>654</v>
      </c>
      <c r="G239" s="425">
        <v>2</v>
      </c>
      <c r="N239" s="426"/>
    </row>
    <row r="240" spans="1:64" ht="15" customHeight="1">
      <c r="A240" s="401" t="s">
        <v>919</v>
      </c>
      <c r="B240" s="402" t="s">
        <v>654</v>
      </c>
      <c r="C240" s="402" t="s">
        <v>910</v>
      </c>
      <c r="D240" s="440" t="s">
        <v>911</v>
      </c>
      <c r="E240" s="440"/>
      <c r="F240" s="402" t="s">
        <v>14</v>
      </c>
      <c r="G240" s="420">
        <v>8</v>
      </c>
      <c r="H240" s="420"/>
      <c r="I240" s="420">
        <f>G240*AO240</f>
        <v>0</v>
      </c>
      <c r="J240" s="420">
        <f>G240*AP240</f>
        <v>0</v>
      </c>
      <c r="K240" s="420">
        <f>G240*H240</f>
        <v>0</v>
      </c>
      <c r="L240" s="420">
        <v>0</v>
      </c>
      <c r="M240" s="420">
        <f>G240*L240</f>
        <v>0</v>
      </c>
      <c r="N240" s="421" t="s">
        <v>1358</v>
      </c>
      <c r="Z240" s="420">
        <f>IF(AQ240="5",BJ240,0)</f>
        <v>0</v>
      </c>
      <c r="AB240" s="420">
        <f>IF(AQ240="1",BH240,0)</f>
        <v>0</v>
      </c>
      <c r="AC240" s="420">
        <f>IF(AQ240="1",BI240,0)</f>
        <v>0</v>
      </c>
      <c r="AD240" s="420">
        <f>IF(AQ240="7",BH240,0)</f>
        <v>0</v>
      </c>
      <c r="AE240" s="420">
        <f>IF(AQ240="7",BI240,0)</f>
        <v>0</v>
      </c>
      <c r="AF240" s="420">
        <f>IF(AQ240="2",BH240,0)</f>
        <v>0</v>
      </c>
      <c r="AG240" s="420">
        <f>IF(AQ240="2",BI240,0)</f>
        <v>0</v>
      </c>
      <c r="AH240" s="420">
        <f>IF(AQ240="0",BJ240,0)</f>
        <v>0</v>
      </c>
      <c r="AI240" s="408" t="s">
        <v>654</v>
      </c>
      <c r="AJ240" s="420">
        <f>IF(AN240=0,K240,0)</f>
        <v>0</v>
      </c>
      <c r="AK240" s="420">
        <f>IF(AN240=15,K240,0)</f>
        <v>0</v>
      </c>
      <c r="AL240" s="420">
        <f>IF(AN240=21,K240,0)</f>
        <v>0</v>
      </c>
      <c r="AN240" s="420">
        <v>21</v>
      </c>
      <c r="AO240" s="420">
        <f>H240*0.000031496062992126</f>
        <v>0</v>
      </c>
      <c r="AP240" s="420">
        <f>H240*(1-0.000031496062992126)</f>
        <v>0</v>
      </c>
      <c r="AQ240" s="422" t="s">
        <v>657</v>
      </c>
      <c r="AV240" s="420">
        <f>AW240+AX240</f>
        <v>0</v>
      </c>
      <c r="AW240" s="420">
        <f>G240*AO240</f>
        <v>0</v>
      </c>
      <c r="AX240" s="420">
        <f>G240*AP240</f>
        <v>0</v>
      </c>
      <c r="AY240" s="422" t="s">
        <v>890</v>
      </c>
      <c r="AZ240" s="422" t="s">
        <v>891</v>
      </c>
      <c r="BA240" s="408" t="s">
        <v>662</v>
      </c>
      <c r="BC240" s="420">
        <f>AW240+AX240</f>
        <v>0</v>
      </c>
      <c r="BD240" s="420">
        <f>H240/(100-BE240)*100</f>
        <v>0</v>
      </c>
      <c r="BE240" s="420">
        <v>0</v>
      </c>
      <c r="BF240" s="420">
        <f>M240</f>
        <v>0</v>
      </c>
      <c r="BH240" s="420">
        <f>G240*AO240</f>
        <v>0</v>
      </c>
      <c r="BI240" s="420">
        <f>G240*AP240</f>
        <v>0</v>
      </c>
      <c r="BJ240" s="420">
        <f>G240*H240</f>
        <v>0</v>
      </c>
      <c r="BK240" s="420"/>
      <c r="BL240" s="420">
        <v>85</v>
      </c>
    </row>
    <row r="241" spans="1:64" ht="15" customHeight="1">
      <c r="A241" s="423"/>
      <c r="D241" s="424" t="s">
        <v>1447</v>
      </c>
      <c r="E241" s="424" t="s">
        <v>654</v>
      </c>
      <c r="G241" s="425">
        <v>3.0000000000000004</v>
      </c>
      <c r="N241" s="426"/>
    </row>
    <row r="242" spans="1:64" ht="15" customHeight="1">
      <c r="A242" s="423"/>
      <c r="D242" s="424" t="s">
        <v>912</v>
      </c>
      <c r="E242" s="424" t="s">
        <v>654</v>
      </c>
      <c r="G242" s="425">
        <v>2</v>
      </c>
      <c r="N242" s="426"/>
    </row>
    <row r="243" spans="1:64" ht="15" customHeight="1">
      <c r="A243" s="423"/>
      <c r="D243" s="424" t="s">
        <v>913</v>
      </c>
      <c r="E243" s="424" t="s">
        <v>654</v>
      </c>
      <c r="G243" s="425">
        <v>1</v>
      </c>
      <c r="N243" s="426"/>
    </row>
    <row r="244" spans="1:64" ht="15" customHeight="1">
      <c r="A244" s="423"/>
      <c r="D244" s="424" t="s">
        <v>914</v>
      </c>
      <c r="E244" s="424" t="s">
        <v>654</v>
      </c>
      <c r="G244" s="425">
        <v>1</v>
      </c>
      <c r="N244" s="426"/>
    </row>
    <row r="245" spans="1:64" ht="15" customHeight="1">
      <c r="A245" s="423"/>
      <c r="D245" s="424" t="s">
        <v>915</v>
      </c>
      <c r="E245" s="424" t="s">
        <v>654</v>
      </c>
      <c r="G245" s="425">
        <v>1</v>
      </c>
      <c r="N245" s="426"/>
    </row>
    <row r="246" spans="1:64" ht="15" customHeight="1">
      <c r="A246" s="401" t="s">
        <v>922</v>
      </c>
      <c r="B246" s="402" t="s">
        <v>654</v>
      </c>
      <c r="C246" s="402" t="s">
        <v>917</v>
      </c>
      <c r="D246" s="440" t="s">
        <v>918</v>
      </c>
      <c r="E246" s="440"/>
      <c r="F246" s="402" t="s">
        <v>14</v>
      </c>
      <c r="G246" s="420">
        <v>3</v>
      </c>
      <c r="H246" s="420"/>
      <c r="I246" s="420">
        <f>G246*AO246</f>
        <v>0</v>
      </c>
      <c r="J246" s="420">
        <f>G246*AP246</f>
        <v>0</v>
      </c>
      <c r="K246" s="420">
        <f>G246*H246</f>
        <v>0</v>
      </c>
      <c r="L246" s="420">
        <v>0</v>
      </c>
      <c r="M246" s="420">
        <f>G246*L246</f>
        <v>0</v>
      </c>
      <c r="N246" s="421" t="s">
        <v>654</v>
      </c>
      <c r="Z246" s="420">
        <f>IF(AQ246="5",BJ246,0)</f>
        <v>0</v>
      </c>
      <c r="AB246" s="420">
        <f>IF(AQ246="1",BH246,0)</f>
        <v>0</v>
      </c>
      <c r="AC246" s="420">
        <f>IF(AQ246="1",BI246,0)</f>
        <v>0</v>
      </c>
      <c r="AD246" s="420">
        <f>IF(AQ246="7",BH246,0)</f>
        <v>0</v>
      </c>
      <c r="AE246" s="420">
        <f>IF(AQ246="7",BI246,0)</f>
        <v>0</v>
      </c>
      <c r="AF246" s="420">
        <f>IF(AQ246="2",BH246,0)</f>
        <v>0</v>
      </c>
      <c r="AG246" s="420">
        <f>IF(AQ246="2",BI246,0)</f>
        <v>0</v>
      </c>
      <c r="AH246" s="420">
        <f>IF(AQ246="0",BJ246,0)</f>
        <v>0</v>
      </c>
      <c r="AI246" s="408" t="s">
        <v>654</v>
      </c>
      <c r="AJ246" s="420">
        <f>IF(AN246=0,K246,0)</f>
        <v>0</v>
      </c>
      <c r="AK246" s="420">
        <f>IF(AN246=15,K246,0)</f>
        <v>0</v>
      </c>
      <c r="AL246" s="420">
        <f>IF(AN246=21,K246,0)</f>
        <v>0</v>
      </c>
      <c r="AN246" s="420">
        <v>21</v>
      </c>
      <c r="AO246" s="420">
        <f>H246*1</f>
        <v>0</v>
      </c>
      <c r="AP246" s="420">
        <f>H246*(1-1)</f>
        <v>0</v>
      </c>
      <c r="AQ246" s="422" t="s">
        <v>657</v>
      </c>
      <c r="AV246" s="420">
        <f>AW246+AX246</f>
        <v>0</v>
      </c>
      <c r="AW246" s="420">
        <f>G246*AO246</f>
        <v>0</v>
      </c>
      <c r="AX246" s="420">
        <f>G246*AP246</f>
        <v>0</v>
      </c>
      <c r="AY246" s="422" t="s">
        <v>890</v>
      </c>
      <c r="AZ246" s="422" t="s">
        <v>891</v>
      </c>
      <c r="BA246" s="408" t="s">
        <v>662</v>
      </c>
      <c r="BC246" s="420">
        <f>AW246+AX246</f>
        <v>0</v>
      </c>
      <c r="BD246" s="420">
        <f>H246/(100-BE246)*100</f>
        <v>0</v>
      </c>
      <c r="BE246" s="420">
        <v>0</v>
      </c>
      <c r="BF246" s="420">
        <f>M246</f>
        <v>0</v>
      </c>
      <c r="BH246" s="420">
        <f>G246*AO246</f>
        <v>0</v>
      </c>
      <c r="BI246" s="420">
        <f>G246*AP246</f>
        <v>0</v>
      </c>
      <c r="BJ246" s="420">
        <f>G246*H246</f>
        <v>0</v>
      </c>
      <c r="BK246" s="420"/>
      <c r="BL246" s="420">
        <v>85</v>
      </c>
    </row>
    <row r="247" spans="1:64" ht="15" customHeight="1">
      <c r="A247" s="423"/>
      <c r="D247" s="424" t="s">
        <v>1446</v>
      </c>
      <c r="E247" s="424" t="s">
        <v>654</v>
      </c>
      <c r="G247" s="425">
        <v>3.0000000000000004</v>
      </c>
      <c r="N247" s="426"/>
    </row>
    <row r="248" spans="1:64" ht="15" customHeight="1">
      <c r="A248" s="401" t="s">
        <v>926</v>
      </c>
      <c r="B248" s="402" t="s">
        <v>654</v>
      </c>
      <c r="C248" s="402" t="s">
        <v>920</v>
      </c>
      <c r="D248" s="440" t="s">
        <v>921</v>
      </c>
      <c r="E248" s="440"/>
      <c r="F248" s="402" t="s">
        <v>14</v>
      </c>
      <c r="G248" s="420">
        <v>2</v>
      </c>
      <c r="H248" s="420"/>
      <c r="I248" s="420">
        <f>G248*AO248</f>
        <v>0</v>
      </c>
      <c r="J248" s="420">
        <f>G248*AP248</f>
        <v>0</v>
      </c>
      <c r="K248" s="420">
        <f>G248*H248</f>
        <v>0</v>
      </c>
      <c r="L248" s="420">
        <v>0</v>
      </c>
      <c r="M248" s="420">
        <f>G248*L248</f>
        <v>0</v>
      </c>
      <c r="N248" s="421" t="s">
        <v>654</v>
      </c>
      <c r="Z248" s="420">
        <f>IF(AQ248="5",BJ248,0)</f>
        <v>0</v>
      </c>
      <c r="AB248" s="420">
        <f>IF(AQ248="1",BH248,0)</f>
        <v>0</v>
      </c>
      <c r="AC248" s="420">
        <f>IF(AQ248="1",BI248,0)</f>
        <v>0</v>
      </c>
      <c r="AD248" s="420">
        <f>IF(AQ248="7",BH248,0)</f>
        <v>0</v>
      </c>
      <c r="AE248" s="420">
        <f>IF(AQ248="7",BI248,0)</f>
        <v>0</v>
      </c>
      <c r="AF248" s="420">
        <f>IF(AQ248="2",BH248,0)</f>
        <v>0</v>
      </c>
      <c r="AG248" s="420">
        <f>IF(AQ248="2",BI248,0)</f>
        <v>0</v>
      </c>
      <c r="AH248" s="420">
        <f>IF(AQ248="0",BJ248,0)</f>
        <v>0</v>
      </c>
      <c r="AI248" s="408" t="s">
        <v>654</v>
      </c>
      <c r="AJ248" s="420">
        <f>IF(AN248=0,K248,0)</f>
        <v>0</v>
      </c>
      <c r="AK248" s="420">
        <f>IF(AN248=15,K248,0)</f>
        <v>0</v>
      </c>
      <c r="AL248" s="420">
        <f>IF(AN248=21,K248,0)</f>
        <v>0</v>
      </c>
      <c r="AN248" s="420">
        <v>21</v>
      </c>
      <c r="AO248" s="420">
        <f>H248*1</f>
        <v>0</v>
      </c>
      <c r="AP248" s="420">
        <f>H248*(1-1)</f>
        <v>0</v>
      </c>
      <c r="AQ248" s="422" t="s">
        <v>657</v>
      </c>
      <c r="AV248" s="420">
        <f>AW248+AX248</f>
        <v>0</v>
      </c>
      <c r="AW248" s="420">
        <f>G248*AO248</f>
        <v>0</v>
      </c>
      <c r="AX248" s="420">
        <f>G248*AP248</f>
        <v>0</v>
      </c>
      <c r="AY248" s="422" t="s">
        <v>890</v>
      </c>
      <c r="AZ248" s="422" t="s">
        <v>891</v>
      </c>
      <c r="BA248" s="408" t="s">
        <v>662</v>
      </c>
      <c r="BC248" s="420">
        <f>AW248+AX248</f>
        <v>0</v>
      </c>
      <c r="BD248" s="420">
        <f>H248/(100-BE248)*100</f>
        <v>0</v>
      </c>
      <c r="BE248" s="420">
        <v>0</v>
      </c>
      <c r="BF248" s="420">
        <f>M248</f>
        <v>0</v>
      </c>
      <c r="BH248" s="420">
        <f>G248*AO248</f>
        <v>0</v>
      </c>
      <c r="BI248" s="420">
        <f>G248*AP248</f>
        <v>0</v>
      </c>
      <c r="BJ248" s="420">
        <f>G248*H248</f>
        <v>0</v>
      </c>
      <c r="BK248" s="420"/>
      <c r="BL248" s="420">
        <v>85</v>
      </c>
    </row>
    <row r="249" spans="1:64" ht="15" customHeight="1">
      <c r="A249" s="423"/>
      <c r="D249" s="424" t="s">
        <v>908</v>
      </c>
      <c r="E249" s="424" t="s">
        <v>654</v>
      </c>
      <c r="G249" s="425">
        <v>2</v>
      </c>
      <c r="N249" s="426"/>
    </row>
    <row r="250" spans="1:64" ht="15" customHeight="1">
      <c r="A250" s="401" t="s">
        <v>929</v>
      </c>
      <c r="B250" s="402" t="s">
        <v>654</v>
      </c>
      <c r="C250" s="402" t="s">
        <v>923</v>
      </c>
      <c r="D250" s="440" t="s">
        <v>924</v>
      </c>
      <c r="E250" s="440"/>
      <c r="F250" s="402" t="s">
        <v>14</v>
      </c>
      <c r="G250" s="420">
        <v>1</v>
      </c>
      <c r="H250" s="420"/>
      <c r="I250" s="420">
        <f>G250*AO250</f>
        <v>0</v>
      </c>
      <c r="J250" s="420">
        <f>G250*AP250</f>
        <v>0</v>
      </c>
      <c r="K250" s="420">
        <f>G250*H250</f>
        <v>0</v>
      </c>
      <c r="L250" s="420">
        <v>0</v>
      </c>
      <c r="M250" s="420">
        <f>G250*L250</f>
        <v>0</v>
      </c>
      <c r="N250" s="421" t="s">
        <v>654</v>
      </c>
      <c r="Z250" s="420">
        <f>IF(AQ250="5",BJ250,0)</f>
        <v>0</v>
      </c>
      <c r="AB250" s="420">
        <f>IF(AQ250="1",BH250,0)</f>
        <v>0</v>
      </c>
      <c r="AC250" s="420">
        <f>IF(AQ250="1",BI250,0)</f>
        <v>0</v>
      </c>
      <c r="AD250" s="420">
        <f>IF(AQ250="7",BH250,0)</f>
        <v>0</v>
      </c>
      <c r="AE250" s="420">
        <f>IF(AQ250="7",BI250,0)</f>
        <v>0</v>
      </c>
      <c r="AF250" s="420">
        <f>IF(AQ250="2",BH250,0)</f>
        <v>0</v>
      </c>
      <c r="AG250" s="420">
        <f>IF(AQ250="2",BI250,0)</f>
        <v>0</v>
      </c>
      <c r="AH250" s="420">
        <f>IF(AQ250="0",BJ250,0)</f>
        <v>0</v>
      </c>
      <c r="AI250" s="408" t="s">
        <v>654</v>
      </c>
      <c r="AJ250" s="420">
        <f>IF(AN250=0,K250,0)</f>
        <v>0</v>
      </c>
      <c r="AK250" s="420">
        <f>IF(AN250=15,K250,0)</f>
        <v>0</v>
      </c>
      <c r="AL250" s="420">
        <f>IF(AN250=21,K250,0)</f>
        <v>0</v>
      </c>
      <c r="AN250" s="420">
        <v>21</v>
      </c>
      <c r="AO250" s="420">
        <f>H250*1</f>
        <v>0</v>
      </c>
      <c r="AP250" s="420">
        <f>H250*(1-1)</f>
        <v>0</v>
      </c>
      <c r="AQ250" s="422" t="s">
        <v>657</v>
      </c>
      <c r="AV250" s="420">
        <f>AW250+AX250</f>
        <v>0</v>
      </c>
      <c r="AW250" s="420">
        <f>G250*AO250</f>
        <v>0</v>
      </c>
      <c r="AX250" s="420">
        <f>G250*AP250</f>
        <v>0</v>
      </c>
      <c r="AY250" s="422" t="s">
        <v>890</v>
      </c>
      <c r="AZ250" s="422" t="s">
        <v>891</v>
      </c>
      <c r="BA250" s="408" t="s">
        <v>662</v>
      </c>
      <c r="BC250" s="420">
        <f>AW250+AX250</f>
        <v>0</v>
      </c>
      <c r="BD250" s="420">
        <f>H250/(100-BE250)*100</f>
        <v>0</v>
      </c>
      <c r="BE250" s="420">
        <v>0</v>
      </c>
      <c r="BF250" s="420">
        <f>M250</f>
        <v>0</v>
      </c>
      <c r="BH250" s="420">
        <f>G250*AO250</f>
        <v>0</v>
      </c>
      <c r="BI250" s="420">
        <f>G250*AP250</f>
        <v>0</v>
      </c>
      <c r="BJ250" s="420">
        <f>G250*H250</f>
        <v>0</v>
      </c>
      <c r="BK250" s="420"/>
      <c r="BL250" s="420">
        <v>85</v>
      </c>
    </row>
    <row r="251" spans="1:64" ht="15" customHeight="1">
      <c r="A251" s="423"/>
      <c r="D251" s="424" t="s">
        <v>925</v>
      </c>
      <c r="E251" s="424" t="s">
        <v>654</v>
      </c>
      <c r="G251" s="425">
        <v>1</v>
      </c>
      <c r="N251" s="426"/>
    </row>
    <row r="252" spans="1:64" ht="15" customHeight="1">
      <c r="A252" s="401" t="s">
        <v>932</v>
      </c>
      <c r="B252" s="402" t="s">
        <v>654</v>
      </c>
      <c r="C252" s="402" t="s">
        <v>927</v>
      </c>
      <c r="D252" s="440" t="s">
        <v>928</v>
      </c>
      <c r="E252" s="440"/>
      <c r="F252" s="402" t="s">
        <v>14</v>
      </c>
      <c r="G252" s="420">
        <v>1</v>
      </c>
      <c r="H252" s="420"/>
      <c r="I252" s="420">
        <f>G252*AO252</f>
        <v>0</v>
      </c>
      <c r="J252" s="420">
        <f>G252*AP252</f>
        <v>0</v>
      </c>
      <c r="K252" s="420">
        <f>G252*H252</f>
        <v>0</v>
      </c>
      <c r="L252" s="420">
        <v>0</v>
      </c>
      <c r="M252" s="420">
        <f>G252*L252</f>
        <v>0</v>
      </c>
      <c r="N252" s="421" t="s">
        <v>654</v>
      </c>
      <c r="Z252" s="420">
        <f>IF(AQ252="5",BJ252,0)</f>
        <v>0</v>
      </c>
      <c r="AB252" s="420">
        <f>IF(AQ252="1",BH252,0)</f>
        <v>0</v>
      </c>
      <c r="AC252" s="420">
        <f>IF(AQ252="1",BI252,0)</f>
        <v>0</v>
      </c>
      <c r="AD252" s="420">
        <f>IF(AQ252="7",BH252,0)</f>
        <v>0</v>
      </c>
      <c r="AE252" s="420">
        <f>IF(AQ252="7",BI252,0)</f>
        <v>0</v>
      </c>
      <c r="AF252" s="420">
        <f>IF(AQ252="2",BH252,0)</f>
        <v>0</v>
      </c>
      <c r="AG252" s="420">
        <f>IF(AQ252="2",BI252,0)</f>
        <v>0</v>
      </c>
      <c r="AH252" s="420">
        <f>IF(AQ252="0",BJ252,0)</f>
        <v>0</v>
      </c>
      <c r="AI252" s="408" t="s">
        <v>654</v>
      </c>
      <c r="AJ252" s="420">
        <f>IF(AN252=0,K252,0)</f>
        <v>0</v>
      </c>
      <c r="AK252" s="420">
        <f>IF(AN252=15,K252,0)</f>
        <v>0</v>
      </c>
      <c r="AL252" s="420">
        <f>IF(AN252=21,K252,0)</f>
        <v>0</v>
      </c>
      <c r="AN252" s="420">
        <v>21</v>
      </c>
      <c r="AO252" s="420">
        <f>H252*1</f>
        <v>0</v>
      </c>
      <c r="AP252" s="420">
        <f>H252*(1-1)</f>
        <v>0</v>
      </c>
      <c r="AQ252" s="422" t="s">
        <v>657</v>
      </c>
      <c r="AV252" s="420">
        <f>AW252+AX252</f>
        <v>0</v>
      </c>
      <c r="AW252" s="420">
        <f>G252*AO252</f>
        <v>0</v>
      </c>
      <c r="AX252" s="420">
        <f>G252*AP252</f>
        <v>0</v>
      </c>
      <c r="AY252" s="422" t="s">
        <v>890</v>
      </c>
      <c r="AZ252" s="422" t="s">
        <v>891</v>
      </c>
      <c r="BA252" s="408" t="s">
        <v>662</v>
      </c>
      <c r="BC252" s="420">
        <f>AW252+AX252</f>
        <v>0</v>
      </c>
      <c r="BD252" s="420">
        <f>H252/(100-BE252)*100</f>
        <v>0</v>
      </c>
      <c r="BE252" s="420">
        <v>0</v>
      </c>
      <c r="BF252" s="420">
        <f>M252</f>
        <v>0</v>
      </c>
      <c r="BH252" s="420">
        <f>G252*AO252</f>
        <v>0</v>
      </c>
      <c r="BI252" s="420">
        <f>G252*AP252</f>
        <v>0</v>
      </c>
      <c r="BJ252" s="420">
        <f>G252*H252</f>
        <v>0</v>
      </c>
      <c r="BK252" s="420"/>
      <c r="BL252" s="420">
        <v>85</v>
      </c>
    </row>
    <row r="253" spans="1:64" ht="15" customHeight="1">
      <c r="A253" s="423"/>
      <c r="D253" s="424" t="s">
        <v>925</v>
      </c>
      <c r="E253" s="424" t="s">
        <v>654</v>
      </c>
      <c r="G253" s="425">
        <v>1</v>
      </c>
      <c r="N253" s="426"/>
    </row>
    <row r="254" spans="1:64" ht="15" customHeight="1">
      <c r="A254" s="401" t="s">
        <v>935</v>
      </c>
      <c r="B254" s="402" t="s">
        <v>654</v>
      </c>
      <c r="C254" s="402" t="s">
        <v>930</v>
      </c>
      <c r="D254" s="440" t="s">
        <v>931</v>
      </c>
      <c r="E254" s="440"/>
      <c r="F254" s="402" t="s">
        <v>14</v>
      </c>
      <c r="G254" s="420">
        <v>1</v>
      </c>
      <c r="H254" s="420"/>
      <c r="I254" s="420">
        <f>G254*AO254</f>
        <v>0</v>
      </c>
      <c r="J254" s="420">
        <f>G254*AP254</f>
        <v>0</v>
      </c>
      <c r="K254" s="420">
        <f>G254*H254</f>
        <v>0</v>
      </c>
      <c r="L254" s="420">
        <v>0</v>
      </c>
      <c r="M254" s="420">
        <f>G254*L254</f>
        <v>0</v>
      </c>
      <c r="N254" s="421" t="s">
        <v>654</v>
      </c>
      <c r="Z254" s="420">
        <f>IF(AQ254="5",BJ254,0)</f>
        <v>0</v>
      </c>
      <c r="AB254" s="420">
        <f>IF(AQ254="1",BH254,0)</f>
        <v>0</v>
      </c>
      <c r="AC254" s="420">
        <f>IF(AQ254="1",BI254,0)</f>
        <v>0</v>
      </c>
      <c r="AD254" s="420">
        <f>IF(AQ254="7",BH254,0)</f>
        <v>0</v>
      </c>
      <c r="AE254" s="420">
        <f>IF(AQ254="7",BI254,0)</f>
        <v>0</v>
      </c>
      <c r="AF254" s="420">
        <f>IF(AQ254="2",BH254,0)</f>
        <v>0</v>
      </c>
      <c r="AG254" s="420">
        <f>IF(AQ254="2",BI254,0)</f>
        <v>0</v>
      </c>
      <c r="AH254" s="420">
        <f>IF(AQ254="0",BJ254,0)</f>
        <v>0</v>
      </c>
      <c r="AI254" s="408" t="s">
        <v>654</v>
      </c>
      <c r="AJ254" s="420">
        <f>IF(AN254=0,K254,0)</f>
        <v>0</v>
      </c>
      <c r="AK254" s="420">
        <f>IF(AN254=15,K254,0)</f>
        <v>0</v>
      </c>
      <c r="AL254" s="420">
        <f>IF(AN254=21,K254,0)</f>
        <v>0</v>
      </c>
      <c r="AN254" s="420">
        <v>21</v>
      </c>
      <c r="AO254" s="420">
        <f>H254*1</f>
        <v>0</v>
      </c>
      <c r="AP254" s="420">
        <f>H254*(1-1)</f>
        <v>0</v>
      </c>
      <c r="AQ254" s="422" t="s">
        <v>657</v>
      </c>
      <c r="AV254" s="420">
        <f>AW254+AX254</f>
        <v>0</v>
      </c>
      <c r="AW254" s="420">
        <f>G254*AO254</f>
        <v>0</v>
      </c>
      <c r="AX254" s="420">
        <f>G254*AP254</f>
        <v>0</v>
      </c>
      <c r="AY254" s="422" t="s">
        <v>890</v>
      </c>
      <c r="AZ254" s="422" t="s">
        <v>891</v>
      </c>
      <c r="BA254" s="408" t="s">
        <v>662</v>
      </c>
      <c r="BC254" s="420">
        <f>AW254+AX254</f>
        <v>0</v>
      </c>
      <c r="BD254" s="420">
        <f>H254/(100-BE254)*100</f>
        <v>0</v>
      </c>
      <c r="BE254" s="420">
        <v>0</v>
      </c>
      <c r="BF254" s="420">
        <f>M254</f>
        <v>0</v>
      </c>
      <c r="BH254" s="420">
        <f>G254*AO254</f>
        <v>0</v>
      </c>
      <c r="BI254" s="420">
        <f>G254*AP254</f>
        <v>0</v>
      </c>
      <c r="BJ254" s="420">
        <f>G254*H254</f>
        <v>0</v>
      </c>
      <c r="BK254" s="420"/>
      <c r="BL254" s="420">
        <v>85</v>
      </c>
    </row>
    <row r="255" spans="1:64" ht="15" customHeight="1">
      <c r="A255" s="423"/>
      <c r="D255" s="424" t="s">
        <v>925</v>
      </c>
      <c r="E255" s="424" t="s">
        <v>654</v>
      </c>
      <c r="G255" s="425">
        <v>1</v>
      </c>
      <c r="N255" s="426"/>
    </row>
    <row r="256" spans="1:64" ht="15" customHeight="1">
      <c r="A256" s="401" t="s">
        <v>940</v>
      </c>
      <c r="B256" s="402" t="s">
        <v>654</v>
      </c>
      <c r="C256" s="402" t="s">
        <v>933</v>
      </c>
      <c r="D256" s="440" t="s">
        <v>934</v>
      </c>
      <c r="E256" s="440"/>
      <c r="F256" s="402" t="s">
        <v>14</v>
      </c>
      <c r="G256" s="420">
        <v>3</v>
      </c>
      <c r="H256" s="420"/>
      <c r="I256" s="420">
        <f>G256*AO256</f>
        <v>0</v>
      </c>
      <c r="J256" s="420">
        <f>G256*AP256</f>
        <v>0</v>
      </c>
      <c r="K256" s="420">
        <f>G256*H256</f>
        <v>0</v>
      </c>
      <c r="L256" s="420">
        <v>0</v>
      </c>
      <c r="M256" s="420">
        <f>G256*L256</f>
        <v>0</v>
      </c>
      <c r="N256" s="421" t="s">
        <v>1358</v>
      </c>
      <c r="Z256" s="420">
        <f>IF(AQ256="5",BJ256,0)</f>
        <v>0</v>
      </c>
      <c r="AB256" s="420">
        <f>IF(AQ256="1",BH256,0)</f>
        <v>0</v>
      </c>
      <c r="AC256" s="420">
        <f>IF(AQ256="1",BI256,0)</f>
        <v>0</v>
      </c>
      <c r="AD256" s="420">
        <f>IF(AQ256="7",BH256,0)</f>
        <v>0</v>
      </c>
      <c r="AE256" s="420">
        <f>IF(AQ256="7",BI256,0)</f>
        <v>0</v>
      </c>
      <c r="AF256" s="420">
        <f>IF(AQ256="2",BH256,0)</f>
        <v>0</v>
      </c>
      <c r="AG256" s="420">
        <f>IF(AQ256="2",BI256,0)</f>
        <v>0</v>
      </c>
      <c r="AH256" s="420">
        <f>IF(AQ256="0",BJ256,0)</f>
        <v>0</v>
      </c>
      <c r="AI256" s="408" t="s">
        <v>654</v>
      </c>
      <c r="AJ256" s="420">
        <f>IF(AN256=0,K256,0)</f>
        <v>0</v>
      </c>
      <c r="AK256" s="420">
        <f>IF(AN256=15,K256,0)</f>
        <v>0</v>
      </c>
      <c r="AL256" s="420">
        <f>IF(AN256=21,K256,0)</f>
        <v>0</v>
      </c>
      <c r="AN256" s="420">
        <v>21</v>
      </c>
      <c r="AO256" s="420">
        <f>H256*0.0000229885057471264</f>
        <v>0</v>
      </c>
      <c r="AP256" s="420">
        <f>H256*(1-0.0000229885057471264)</f>
        <v>0</v>
      </c>
      <c r="AQ256" s="422" t="s">
        <v>657</v>
      </c>
      <c r="AV256" s="420">
        <f>AW256+AX256</f>
        <v>0</v>
      </c>
      <c r="AW256" s="420">
        <f>G256*AO256</f>
        <v>0</v>
      </c>
      <c r="AX256" s="420">
        <f>G256*AP256</f>
        <v>0</v>
      </c>
      <c r="AY256" s="422" t="s">
        <v>890</v>
      </c>
      <c r="AZ256" s="422" t="s">
        <v>891</v>
      </c>
      <c r="BA256" s="408" t="s">
        <v>662</v>
      </c>
      <c r="BC256" s="420">
        <f>AW256+AX256</f>
        <v>0</v>
      </c>
      <c r="BD256" s="420">
        <f>H256/(100-BE256)*100</f>
        <v>0</v>
      </c>
      <c r="BE256" s="420">
        <v>0</v>
      </c>
      <c r="BF256" s="420">
        <f>M256</f>
        <v>0</v>
      </c>
      <c r="BH256" s="420">
        <f>G256*AO256</f>
        <v>0</v>
      </c>
      <c r="BI256" s="420">
        <f>G256*AP256</f>
        <v>0</v>
      </c>
      <c r="BJ256" s="420">
        <f>G256*H256</f>
        <v>0</v>
      </c>
      <c r="BK256" s="420"/>
      <c r="BL256" s="420">
        <v>85</v>
      </c>
    </row>
    <row r="257" spans="1:64" ht="15" customHeight="1">
      <c r="A257" s="423"/>
      <c r="D257" s="424" t="s">
        <v>1448</v>
      </c>
      <c r="E257" s="424" t="s">
        <v>654</v>
      </c>
      <c r="G257" s="425">
        <v>3.0000000000000004</v>
      </c>
      <c r="N257" s="426"/>
    </row>
    <row r="258" spans="1:64" ht="15" customHeight="1">
      <c r="A258" s="401" t="s">
        <v>944</v>
      </c>
      <c r="B258" s="402" t="s">
        <v>654</v>
      </c>
      <c r="C258" s="402" t="s">
        <v>936</v>
      </c>
      <c r="D258" s="440" t="s">
        <v>937</v>
      </c>
      <c r="E258" s="440"/>
      <c r="F258" s="402" t="s">
        <v>14</v>
      </c>
      <c r="G258" s="420">
        <v>3</v>
      </c>
      <c r="H258" s="420"/>
      <c r="I258" s="420">
        <f>G258*AO258</f>
        <v>0</v>
      </c>
      <c r="J258" s="420">
        <f>G258*AP258</f>
        <v>0</v>
      </c>
      <c r="K258" s="420">
        <f>G258*H258</f>
        <v>0</v>
      </c>
      <c r="L258" s="420">
        <v>0</v>
      </c>
      <c r="M258" s="420">
        <f>G258*L258</f>
        <v>0</v>
      </c>
      <c r="N258" s="421" t="s">
        <v>654</v>
      </c>
      <c r="Z258" s="420">
        <f>IF(AQ258="5",BJ258,0)</f>
        <v>0</v>
      </c>
      <c r="AB258" s="420">
        <f>IF(AQ258="1",BH258,0)</f>
        <v>0</v>
      </c>
      <c r="AC258" s="420">
        <f>IF(AQ258="1",BI258,0)</f>
        <v>0</v>
      </c>
      <c r="AD258" s="420">
        <f>IF(AQ258="7",BH258,0)</f>
        <v>0</v>
      </c>
      <c r="AE258" s="420">
        <f>IF(AQ258="7",BI258,0)</f>
        <v>0</v>
      </c>
      <c r="AF258" s="420">
        <f>IF(AQ258="2",BH258,0)</f>
        <v>0</v>
      </c>
      <c r="AG258" s="420">
        <f>IF(AQ258="2",BI258,0)</f>
        <v>0</v>
      </c>
      <c r="AH258" s="420">
        <f>IF(AQ258="0",BJ258,0)</f>
        <v>0</v>
      </c>
      <c r="AI258" s="408" t="s">
        <v>654</v>
      </c>
      <c r="AJ258" s="420">
        <f>IF(AN258=0,K258,0)</f>
        <v>0</v>
      </c>
      <c r="AK258" s="420">
        <f>IF(AN258=15,K258,0)</f>
        <v>0</v>
      </c>
      <c r="AL258" s="420">
        <f>IF(AN258=21,K258,0)</f>
        <v>0</v>
      </c>
      <c r="AN258" s="420">
        <v>21</v>
      </c>
      <c r="AO258" s="420">
        <f>H258*1</f>
        <v>0</v>
      </c>
      <c r="AP258" s="420">
        <f>H258*(1-1)</f>
        <v>0</v>
      </c>
      <c r="AQ258" s="422" t="s">
        <v>657</v>
      </c>
      <c r="AV258" s="420">
        <f>AW258+AX258</f>
        <v>0</v>
      </c>
      <c r="AW258" s="420">
        <f>G258*AO258</f>
        <v>0</v>
      </c>
      <c r="AX258" s="420">
        <f>G258*AP258</f>
        <v>0</v>
      </c>
      <c r="AY258" s="422" t="s">
        <v>890</v>
      </c>
      <c r="AZ258" s="422" t="s">
        <v>891</v>
      </c>
      <c r="BA258" s="408" t="s">
        <v>662</v>
      </c>
      <c r="BC258" s="420">
        <f>AW258+AX258</f>
        <v>0</v>
      </c>
      <c r="BD258" s="420">
        <f>H258/(100-BE258)*100</f>
        <v>0</v>
      </c>
      <c r="BE258" s="420">
        <v>0</v>
      </c>
      <c r="BF258" s="420">
        <f>M258</f>
        <v>0</v>
      </c>
      <c r="BH258" s="420">
        <f>G258*AO258</f>
        <v>0</v>
      </c>
      <c r="BI258" s="420">
        <f>G258*AP258</f>
        <v>0</v>
      </c>
      <c r="BJ258" s="420">
        <f>G258*H258</f>
        <v>0</v>
      </c>
      <c r="BK258" s="420"/>
      <c r="BL258" s="420">
        <v>85</v>
      </c>
    </row>
    <row r="259" spans="1:64" ht="15" customHeight="1">
      <c r="A259" s="423"/>
      <c r="D259" s="424" t="s">
        <v>1446</v>
      </c>
      <c r="E259" s="424" t="s">
        <v>654</v>
      </c>
      <c r="G259" s="425">
        <v>3.0000000000000004</v>
      </c>
      <c r="N259" s="426"/>
    </row>
    <row r="260" spans="1:64" ht="15" customHeight="1">
      <c r="A260" s="416" t="s">
        <v>654</v>
      </c>
      <c r="B260" s="417" t="s">
        <v>654</v>
      </c>
      <c r="C260" s="417" t="s">
        <v>938</v>
      </c>
      <c r="D260" s="455" t="s">
        <v>939</v>
      </c>
      <c r="E260" s="455"/>
      <c r="F260" s="418" t="s">
        <v>608</v>
      </c>
      <c r="G260" s="418" t="s">
        <v>608</v>
      </c>
      <c r="H260" s="418"/>
      <c r="I260" s="400">
        <f>SUM(I261:I296)</f>
        <v>0</v>
      </c>
      <c r="J260" s="400">
        <f>SUM(J261:J296)</f>
        <v>0</v>
      </c>
      <c r="K260" s="400">
        <f>SUM(K261:K296)</f>
        <v>0</v>
      </c>
      <c r="L260" s="408" t="s">
        <v>654</v>
      </c>
      <c r="M260" s="400">
        <f>SUM(M261:M296)</f>
        <v>381.33629016000003</v>
      </c>
      <c r="N260" s="419" t="s">
        <v>654</v>
      </c>
      <c r="AI260" s="408" t="s">
        <v>654</v>
      </c>
      <c r="AS260" s="400">
        <f>SUM(AJ261:AJ296)</f>
        <v>0</v>
      </c>
      <c r="AT260" s="400">
        <f>SUM(AK261:AK296)</f>
        <v>0</v>
      </c>
      <c r="AU260" s="400">
        <f>SUM(AL261:AL296)</f>
        <v>0</v>
      </c>
    </row>
    <row r="261" spans="1:64" ht="15" customHeight="1">
      <c r="A261" s="401" t="s">
        <v>947</v>
      </c>
      <c r="B261" s="402" t="s">
        <v>654</v>
      </c>
      <c r="C261" s="402" t="s">
        <v>941</v>
      </c>
      <c r="D261" s="440" t="s">
        <v>942</v>
      </c>
      <c r="E261" s="440"/>
      <c r="F261" s="402" t="s">
        <v>7</v>
      </c>
      <c r="G261" s="420">
        <v>982.08</v>
      </c>
      <c r="H261" s="420"/>
      <c r="I261" s="420">
        <f>G261*AO261</f>
        <v>0</v>
      </c>
      <c r="J261" s="420">
        <f>G261*AP261</f>
        <v>0</v>
      </c>
      <c r="K261" s="420">
        <f>G261*H261</f>
        <v>0</v>
      </c>
      <c r="L261" s="420">
        <v>0</v>
      </c>
      <c r="M261" s="420">
        <f>G261*L261</f>
        <v>0</v>
      </c>
      <c r="N261" s="421" t="s">
        <v>1358</v>
      </c>
      <c r="Z261" s="420">
        <f>IF(AQ261="5",BJ261,0)</f>
        <v>0</v>
      </c>
      <c r="AB261" s="420">
        <f>IF(AQ261="1",BH261,0)</f>
        <v>0</v>
      </c>
      <c r="AC261" s="420">
        <f>IF(AQ261="1",BI261,0)</f>
        <v>0</v>
      </c>
      <c r="AD261" s="420">
        <f>IF(AQ261="7",BH261,0)</f>
        <v>0</v>
      </c>
      <c r="AE261" s="420">
        <f>IF(AQ261="7",BI261,0)</f>
        <v>0</v>
      </c>
      <c r="AF261" s="420">
        <f>IF(AQ261="2",BH261,0)</f>
        <v>0</v>
      </c>
      <c r="AG261" s="420">
        <f>IF(AQ261="2",BI261,0)</f>
        <v>0</v>
      </c>
      <c r="AH261" s="420">
        <f>IF(AQ261="0",BJ261,0)</f>
        <v>0</v>
      </c>
      <c r="AI261" s="408" t="s">
        <v>654</v>
      </c>
      <c r="AJ261" s="420">
        <f>IF(AN261=0,K261,0)</f>
        <v>0</v>
      </c>
      <c r="AK261" s="420">
        <f>IF(AN261=15,K261,0)</f>
        <v>0</v>
      </c>
      <c r="AL261" s="420">
        <f>IF(AN261=21,K261,0)</f>
        <v>0</v>
      </c>
      <c r="AN261" s="420">
        <v>21</v>
      </c>
      <c r="AO261" s="420">
        <f>H261*0</f>
        <v>0</v>
      </c>
      <c r="AP261" s="420">
        <f>H261*(1-0)</f>
        <v>0</v>
      </c>
      <c r="AQ261" s="422" t="s">
        <v>657</v>
      </c>
      <c r="AV261" s="420">
        <f>AW261+AX261</f>
        <v>0</v>
      </c>
      <c r="AW261" s="420">
        <f>G261*AO261</f>
        <v>0</v>
      </c>
      <c r="AX261" s="420">
        <f>G261*AP261</f>
        <v>0</v>
      </c>
      <c r="AY261" s="422" t="s">
        <v>943</v>
      </c>
      <c r="AZ261" s="422" t="s">
        <v>891</v>
      </c>
      <c r="BA261" s="408" t="s">
        <v>662</v>
      </c>
      <c r="BC261" s="420">
        <f>AW261+AX261</f>
        <v>0</v>
      </c>
      <c r="BD261" s="420">
        <f>H261/(100-BE261)*100</f>
        <v>0</v>
      </c>
      <c r="BE261" s="420">
        <v>0</v>
      </c>
      <c r="BF261" s="420">
        <f>M261</f>
        <v>0</v>
      </c>
      <c r="BH261" s="420">
        <f>G261*AO261</f>
        <v>0</v>
      </c>
      <c r="BI261" s="420">
        <f>G261*AP261</f>
        <v>0</v>
      </c>
      <c r="BJ261" s="420">
        <f>G261*H261</f>
        <v>0</v>
      </c>
      <c r="BK261" s="420"/>
      <c r="BL261" s="420">
        <v>87</v>
      </c>
    </row>
    <row r="262" spans="1:64" ht="15" customHeight="1">
      <c r="A262" s="423"/>
      <c r="D262" s="424" t="s">
        <v>711</v>
      </c>
      <c r="E262" s="424" t="s">
        <v>654</v>
      </c>
      <c r="G262" s="425">
        <v>261.20000000000005</v>
      </c>
      <c r="N262" s="426"/>
    </row>
    <row r="263" spans="1:64" ht="15" customHeight="1">
      <c r="A263" s="423"/>
      <c r="D263" s="424" t="s">
        <v>1386</v>
      </c>
      <c r="E263" s="424" t="s">
        <v>654</v>
      </c>
      <c r="G263" s="425">
        <v>33</v>
      </c>
      <c r="N263" s="426"/>
    </row>
    <row r="264" spans="1:64" ht="15" customHeight="1">
      <c r="A264" s="423"/>
      <c r="D264" s="424" t="s">
        <v>1387</v>
      </c>
      <c r="E264" s="424" t="s">
        <v>654</v>
      </c>
      <c r="G264" s="425">
        <v>72.95</v>
      </c>
      <c r="N264" s="426"/>
    </row>
    <row r="265" spans="1:64" ht="15" customHeight="1">
      <c r="A265" s="423"/>
      <c r="D265" s="424" t="s">
        <v>1388</v>
      </c>
      <c r="E265" s="424" t="s">
        <v>654</v>
      </c>
      <c r="G265" s="425">
        <v>41.75</v>
      </c>
      <c r="N265" s="426"/>
    </row>
    <row r="266" spans="1:64" ht="15" customHeight="1">
      <c r="A266" s="423"/>
      <c r="D266" s="424" t="s">
        <v>1389</v>
      </c>
      <c r="E266" s="424" t="s">
        <v>654</v>
      </c>
      <c r="G266" s="425">
        <v>573.18000000000006</v>
      </c>
      <c r="N266" s="426"/>
    </row>
    <row r="267" spans="1:64" ht="15" customHeight="1">
      <c r="A267" s="401" t="s">
        <v>950</v>
      </c>
      <c r="B267" s="402" t="s">
        <v>654</v>
      </c>
      <c r="C267" s="402" t="s">
        <v>945</v>
      </c>
      <c r="D267" s="440" t="s">
        <v>946</v>
      </c>
      <c r="E267" s="440"/>
      <c r="F267" s="402" t="s">
        <v>7</v>
      </c>
      <c r="G267" s="420">
        <v>721.58</v>
      </c>
      <c r="H267" s="420"/>
      <c r="I267" s="420">
        <f>G267*AO267</f>
        <v>0</v>
      </c>
      <c r="J267" s="420">
        <f>G267*AP267</f>
        <v>0</v>
      </c>
      <c r="K267" s="420">
        <f>G267*H267</f>
        <v>0</v>
      </c>
      <c r="L267" s="420">
        <v>0</v>
      </c>
      <c r="M267" s="420">
        <f>G267*L267</f>
        <v>0</v>
      </c>
      <c r="N267" s="421" t="s">
        <v>1358</v>
      </c>
      <c r="Z267" s="420">
        <f>IF(AQ267="5",BJ267,0)</f>
        <v>0</v>
      </c>
      <c r="AB267" s="420">
        <f>IF(AQ267="1",BH267,0)</f>
        <v>0</v>
      </c>
      <c r="AC267" s="420">
        <f>IF(AQ267="1",BI267,0)</f>
        <v>0</v>
      </c>
      <c r="AD267" s="420">
        <f>IF(AQ267="7",BH267,0)</f>
        <v>0</v>
      </c>
      <c r="AE267" s="420">
        <f>IF(AQ267="7",BI267,0)</f>
        <v>0</v>
      </c>
      <c r="AF267" s="420">
        <f>IF(AQ267="2",BH267,0)</f>
        <v>0</v>
      </c>
      <c r="AG267" s="420">
        <f>IF(AQ267="2",BI267,0)</f>
        <v>0</v>
      </c>
      <c r="AH267" s="420">
        <f>IF(AQ267="0",BJ267,0)</f>
        <v>0</v>
      </c>
      <c r="AI267" s="408" t="s">
        <v>654</v>
      </c>
      <c r="AJ267" s="420">
        <f>IF(AN267=0,K267,0)</f>
        <v>0</v>
      </c>
      <c r="AK267" s="420">
        <f>IF(AN267=15,K267,0)</f>
        <v>0</v>
      </c>
      <c r="AL267" s="420">
        <f>IF(AN267=21,K267,0)</f>
        <v>0</v>
      </c>
      <c r="AN267" s="420">
        <v>21</v>
      </c>
      <c r="AO267" s="420">
        <f>H267*0</f>
        <v>0</v>
      </c>
      <c r="AP267" s="420">
        <f>H267*(1-0)</f>
        <v>0</v>
      </c>
      <c r="AQ267" s="422" t="s">
        <v>657</v>
      </c>
      <c r="AV267" s="420">
        <f>AW267+AX267</f>
        <v>0</v>
      </c>
      <c r="AW267" s="420">
        <f>G267*AO267</f>
        <v>0</v>
      </c>
      <c r="AX267" s="420">
        <f>G267*AP267</f>
        <v>0</v>
      </c>
      <c r="AY267" s="422" t="s">
        <v>943</v>
      </c>
      <c r="AZ267" s="422" t="s">
        <v>891</v>
      </c>
      <c r="BA267" s="408" t="s">
        <v>662</v>
      </c>
      <c r="BC267" s="420">
        <f>AW267+AX267</f>
        <v>0</v>
      </c>
      <c r="BD267" s="420">
        <f>H267/(100-BE267)*100</f>
        <v>0</v>
      </c>
      <c r="BE267" s="420">
        <v>0</v>
      </c>
      <c r="BF267" s="420">
        <f>M267</f>
        <v>0</v>
      </c>
      <c r="BH267" s="420">
        <f>G267*AO267</f>
        <v>0</v>
      </c>
      <c r="BI267" s="420">
        <f>G267*AP267</f>
        <v>0</v>
      </c>
      <c r="BJ267" s="420">
        <f>G267*H267</f>
        <v>0</v>
      </c>
      <c r="BK267" s="420"/>
      <c r="BL267" s="420">
        <v>87</v>
      </c>
    </row>
    <row r="268" spans="1:64" ht="15" customHeight="1">
      <c r="A268" s="423"/>
      <c r="D268" s="424" t="s">
        <v>1449</v>
      </c>
      <c r="E268" s="424" t="s">
        <v>654</v>
      </c>
      <c r="G268" s="425">
        <v>721.58</v>
      </c>
      <c r="N268" s="426"/>
    </row>
    <row r="269" spans="1:64" ht="15" customHeight="1">
      <c r="A269" s="401" t="s">
        <v>953</v>
      </c>
      <c r="B269" s="402" t="s">
        <v>654</v>
      </c>
      <c r="C269" s="402" t="s">
        <v>948</v>
      </c>
      <c r="D269" s="440" t="s">
        <v>949</v>
      </c>
      <c r="E269" s="440"/>
      <c r="F269" s="402" t="s">
        <v>7</v>
      </c>
      <c r="G269" s="420">
        <v>757.65899999999999</v>
      </c>
      <c r="H269" s="420"/>
      <c r="I269" s="420">
        <f>G269*AO269</f>
        <v>0</v>
      </c>
      <c r="J269" s="420">
        <f>G269*AP269</f>
        <v>0</v>
      </c>
      <c r="K269" s="420">
        <f>G269*H269</f>
        <v>0</v>
      </c>
      <c r="L269" s="420">
        <v>3.46E-3</v>
      </c>
      <c r="M269" s="420">
        <f>G269*L269</f>
        <v>2.6215001399999998</v>
      </c>
      <c r="N269" s="421" t="s">
        <v>1358</v>
      </c>
      <c r="Z269" s="420">
        <f>IF(AQ269="5",BJ269,0)</f>
        <v>0</v>
      </c>
      <c r="AB269" s="420">
        <f>IF(AQ269="1",BH269,0)</f>
        <v>0</v>
      </c>
      <c r="AC269" s="420">
        <f>IF(AQ269="1",BI269,0)</f>
        <v>0</v>
      </c>
      <c r="AD269" s="420">
        <f>IF(AQ269="7",BH269,0)</f>
        <v>0</v>
      </c>
      <c r="AE269" s="420">
        <f>IF(AQ269="7",BI269,0)</f>
        <v>0</v>
      </c>
      <c r="AF269" s="420">
        <f>IF(AQ269="2",BH269,0)</f>
        <v>0</v>
      </c>
      <c r="AG269" s="420">
        <f>IF(AQ269="2",BI269,0)</f>
        <v>0</v>
      </c>
      <c r="AH269" s="420">
        <f>IF(AQ269="0",BJ269,0)</f>
        <v>0</v>
      </c>
      <c r="AI269" s="408" t="s">
        <v>654</v>
      </c>
      <c r="AJ269" s="420">
        <f>IF(AN269=0,K269,0)</f>
        <v>0</v>
      </c>
      <c r="AK269" s="420">
        <f>IF(AN269=15,K269,0)</f>
        <v>0</v>
      </c>
      <c r="AL269" s="420">
        <f>IF(AN269=21,K269,0)</f>
        <v>0</v>
      </c>
      <c r="AN269" s="420">
        <v>21</v>
      </c>
      <c r="AO269" s="420">
        <f>H269*1</f>
        <v>0</v>
      </c>
      <c r="AP269" s="420">
        <f>H269*(1-1)</f>
        <v>0</v>
      </c>
      <c r="AQ269" s="422" t="s">
        <v>657</v>
      </c>
      <c r="AV269" s="420">
        <f>AW269+AX269</f>
        <v>0</v>
      </c>
      <c r="AW269" s="420">
        <f>G269*AO269</f>
        <v>0</v>
      </c>
      <c r="AX269" s="420">
        <f>G269*AP269</f>
        <v>0</v>
      </c>
      <c r="AY269" s="422" t="s">
        <v>943</v>
      </c>
      <c r="AZ269" s="422" t="s">
        <v>891</v>
      </c>
      <c r="BA269" s="408" t="s">
        <v>662</v>
      </c>
      <c r="BC269" s="420">
        <f>AW269+AX269</f>
        <v>0</v>
      </c>
      <c r="BD269" s="420">
        <f>H269/(100-BE269)*100</f>
        <v>0</v>
      </c>
      <c r="BE269" s="420">
        <v>0</v>
      </c>
      <c r="BF269" s="420">
        <f>M269</f>
        <v>2.6215001399999998</v>
      </c>
      <c r="BH269" s="420">
        <f>G269*AO269</f>
        <v>0</v>
      </c>
      <c r="BI269" s="420">
        <f>G269*AP269</f>
        <v>0</v>
      </c>
      <c r="BJ269" s="420">
        <f>G269*H269</f>
        <v>0</v>
      </c>
      <c r="BK269" s="420"/>
      <c r="BL269" s="420">
        <v>87</v>
      </c>
    </row>
    <row r="270" spans="1:64" ht="15" customHeight="1">
      <c r="A270" s="423"/>
      <c r="D270" s="424" t="s">
        <v>1450</v>
      </c>
      <c r="E270" s="424" t="s">
        <v>654</v>
      </c>
      <c r="G270" s="425">
        <v>757.65900000000011</v>
      </c>
      <c r="N270" s="426"/>
    </row>
    <row r="271" spans="1:64" ht="15" customHeight="1">
      <c r="A271" s="423"/>
      <c r="D271" s="424" t="s">
        <v>871</v>
      </c>
      <c r="E271" s="424" t="s">
        <v>654</v>
      </c>
      <c r="G271" s="425">
        <v>0</v>
      </c>
      <c r="N271" s="426"/>
    </row>
    <row r="272" spans="1:64" ht="15" customHeight="1">
      <c r="A272" s="401" t="s">
        <v>956</v>
      </c>
      <c r="B272" s="402" t="s">
        <v>654</v>
      </c>
      <c r="C272" s="402" t="s">
        <v>951</v>
      </c>
      <c r="D272" s="440" t="s">
        <v>952</v>
      </c>
      <c r="E272" s="440"/>
      <c r="F272" s="402" t="s">
        <v>7</v>
      </c>
      <c r="G272" s="420">
        <v>573.17999999999995</v>
      </c>
      <c r="H272" s="420"/>
      <c r="I272" s="420">
        <f>G272*AO272</f>
        <v>0</v>
      </c>
      <c r="J272" s="420">
        <f>G272*AP272</f>
        <v>0</v>
      </c>
      <c r="K272" s="420">
        <f>G272*H272</f>
        <v>0</v>
      </c>
      <c r="L272" s="420">
        <v>0</v>
      </c>
      <c r="M272" s="420">
        <f>G272*L272</f>
        <v>0</v>
      </c>
      <c r="N272" s="421" t="s">
        <v>1358</v>
      </c>
      <c r="Z272" s="420">
        <f>IF(AQ272="5",BJ272,0)</f>
        <v>0</v>
      </c>
      <c r="AB272" s="420">
        <f>IF(AQ272="1",BH272,0)</f>
        <v>0</v>
      </c>
      <c r="AC272" s="420">
        <f>IF(AQ272="1",BI272,0)</f>
        <v>0</v>
      </c>
      <c r="AD272" s="420">
        <f>IF(AQ272="7",BH272,0)</f>
        <v>0</v>
      </c>
      <c r="AE272" s="420">
        <f>IF(AQ272="7",BI272,0)</f>
        <v>0</v>
      </c>
      <c r="AF272" s="420">
        <f>IF(AQ272="2",BH272,0)</f>
        <v>0</v>
      </c>
      <c r="AG272" s="420">
        <f>IF(AQ272="2",BI272,0)</f>
        <v>0</v>
      </c>
      <c r="AH272" s="420">
        <f>IF(AQ272="0",BJ272,0)</f>
        <v>0</v>
      </c>
      <c r="AI272" s="408" t="s">
        <v>654</v>
      </c>
      <c r="AJ272" s="420">
        <f>IF(AN272=0,K272,0)</f>
        <v>0</v>
      </c>
      <c r="AK272" s="420">
        <f>IF(AN272=15,K272,0)</f>
        <v>0</v>
      </c>
      <c r="AL272" s="420">
        <f>IF(AN272=21,K272,0)</f>
        <v>0</v>
      </c>
      <c r="AN272" s="420">
        <v>21</v>
      </c>
      <c r="AO272" s="420">
        <f>H272*0</f>
        <v>0</v>
      </c>
      <c r="AP272" s="420">
        <f>H272*(1-0)</f>
        <v>0</v>
      </c>
      <c r="AQ272" s="422" t="s">
        <v>657</v>
      </c>
      <c r="AV272" s="420">
        <f>AW272+AX272</f>
        <v>0</v>
      </c>
      <c r="AW272" s="420">
        <f>G272*AO272</f>
        <v>0</v>
      </c>
      <c r="AX272" s="420">
        <f>G272*AP272</f>
        <v>0</v>
      </c>
      <c r="AY272" s="422" t="s">
        <v>943</v>
      </c>
      <c r="AZ272" s="422" t="s">
        <v>891</v>
      </c>
      <c r="BA272" s="408" t="s">
        <v>662</v>
      </c>
      <c r="BC272" s="420">
        <f>AW272+AX272</f>
        <v>0</v>
      </c>
      <c r="BD272" s="420">
        <f>H272/(100-BE272)*100</f>
        <v>0</v>
      </c>
      <c r="BE272" s="420">
        <v>0</v>
      </c>
      <c r="BF272" s="420">
        <f>M272</f>
        <v>0</v>
      </c>
      <c r="BH272" s="420">
        <f>G272*AO272</f>
        <v>0</v>
      </c>
      <c r="BI272" s="420">
        <f>G272*AP272</f>
        <v>0</v>
      </c>
      <c r="BJ272" s="420">
        <f>G272*H272</f>
        <v>0</v>
      </c>
      <c r="BK272" s="420"/>
      <c r="BL272" s="420">
        <v>87</v>
      </c>
    </row>
    <row r="273" spans="1:64" ht="15" customHeight="1">
      <c r="A273" s="423"/>
      <c r="D273" s="424" t="s">
        <v>1451</v>
      </c>
      <c r="E273" s="424" t="s">
        <v>654</v>
      </c>
      <c r="G273" s="425">
        <v>573.18000000000006</v>
      </c>
      <c r="N273" s="426"/>
    </row>
    <row r="274" spans="1:64" ht="15" customHeight="1">
      <c r="A274" s="401" t="s">
        <v>959</v>
      </c>
      <c r="B274" s="402" t="s">
        <v>654</v>
      </c>
      <c r="C274" s="402" t="s">
        <v>954</v>
      </c>
      <c r="D274" s="440" t="s">
        <v>955</v>
      </c>
      <c r="E274" s="440"/>
      <c r="F274" s="402" t="s">
        <v>7</v>
      </c>
      <c r="G274" s="420">
        <v>601.83900000000006</v>
      </c>
      <c r="H274" s="420"/>
      <c r="I274" s="420">
        <f>G274*AO274</f>
        <v>0</v>
      </c>
      <c r="J274" s="420">
        <f>G274*AP274</f>
        <v>0</v>
      </c>
      <c r="K274" s="420">
        <f>G274*H274</f>
        <v>0</v>
      </c>
      <c r="L274" s="420">
        <v>1.37E-2</v>
      </c>
      <c r="M274" s="420">
        <f>G274*L274</f>
        <v>8.2451943000000014</v>
      </c>
      <c r="N274" s="421" t="s">
        <v>654</v>
      </c>
      <c r="Z274" s="420">
        <f>IF(AQ274="5",BJ274,0)</f>
        <v>0</v>
      </c>
      <c r="AB274" s="420">
        <f>IF(AQ274="1",BH274,0)</f>
        <v>0</v>
      </c>
      <c r="AC274" s="420">
        <f>IF(AQ274="1",BI274,0)</f>
        <v>0</v>
      </c>
      <c r="AD274" s="420">
        <f>IF(AQ274="7",BH274,0)</f>
        <v>0</v>
      </c>
      <c r="AE274" s="420">
        <f>IF(AQ274="7",BI274,0)</f>
        <v>0</v>
      </c>
      <c r="AF274" s="420">
        <f>IF(AQ274="2",BH274,0)</f>
        <v>0</v>
      </c>
      <c r="AG274" s="420">
        <f>IF(AQ274="2",BI274,0)</f>
        <v>0</v>
      </c>
      <c r="AH274" s="420">
        <f>IF(AQ274="0",BJ274,0)</f>
        <v>0</v>
      </c>
      <c r="AI274" s="408" t="s">
        <v>654</v>
      </c>
      <c r="AJ274" s="420">
        <f>IF(AN274=0,K274,0)</f>
        <v>0</v>
      </c>
      <c r="AK274" s="420">
        <f>IF(AN274=15,K274,0)</f>
        <v>0</v>
      </c>
      <c r="AL274" s="420">
        <f>IF(AN274=21,K274,0)</f>
        <v>0</v>
      </c>
      <c r="AN274" s="420">
        <v>21</v>
      </c>
      <c r="AO274" s="420">
        <f>H274*1</f>
        <v>0</v>
      </c>
      <c r="AP274" s="420">
        <f>H274*(1-1)</f>
        <v>0</v>
      </c>
      <c r="AQ274" s="422" t="s">
        <v>657</v>
      </c>
      <c r="AV274" s="420">
        <f>AW274+AX274</f>
        <v>0</v>
      </c>
      <c r="AW274" s="420">
        <f>G274*AO274</f>
        <v>0</v>
      </c>
      <c r="AX274" s="420">
        <f>G274*AP274</f>
        <v>0</v>
      </c>
      <c r="AY274" s="422" t="s">
        <v>943</v>
      </c>
      <c r="AZ274" s="422" t="s">
        <v>891</v>
      </c>
      <c r="BA274" s="408" t="s">
        <v>662</v>
      </c>
      <c r="BC274" s="420">
        <f>AW274+AX274</f>
        <v>0</v>
      </c>
      <c r="BD274" s="420">
        <f>H274/(100-BE274)*100</f>
        <v>0</v>
      </c>
      <c r="BE274" s="420">
        <v>0</v>
      </c>
      <c r="BF274" s="420">
        <f>M274</f>
        <v>8.2451943000000014</v>
      </c>
      <c r="BH274" s="420">
        <f>G274*AO274</f>
        <v>0</v>
      </c>
      <c r="BI274" s="420">
        <f>G274*AP274</f>
        <v>0</v>
      </c>
      <c r="BJ274" s="420">
        <f>G274*H274</f>
        <v>0</v>
      </c>
      <c r="BK274" s="420"/>
      <c r="BL274" s="420">
        <v>87</v>
      </c>
    </row>
    <row r="275" spans="1:64" ht="15" customHeight="1">
      <c r="A275" s="423"/>
      <c r="D275" s="424" t="s">
        <v>1452</v>
      </c>
      <c r="E275" s="424" t="s">
        <v>654</v>
      </c>
      <c r="G275" s="425">
        <v>601.83900000000006</v>
      </c>
      <c r="N275" s="426"/>
    </row>
    <row r="276" spans="1:64" ht="15" customHeight="1">
      <c r="A276" s="423"/>
      <c r="D276" s="424" t="s">
        <v>871</v>
      </c>
      <c r="E276" s="424" t="s">
        <v>654</v>
      </c>
      <c r="G276" s="425">
        <v>0</v>
      </c>
      <c r="N276" s="426"/>
    </row>
    <row r="277" spans="1:64" ht="15" customHeight="1">
      <c r="A277" s="401" t="s">
        <v>962</v>
      </c>
      <c r="B277" s="402" t="s">
        <v>654</v>
      </c>
      <c r="C277" s="402" t="s">
        <v>957</v>
      </c>
      <c r="D277" s="440" t="s">
        <v>958</v>
      </c>
      <c r="E277" s="440"/>
      <c r="F277" s="402" t="s">
        <v>7</v>
      </c>
      <c r="G277" s="420">
        <v>874.7</v>
      </c>
      <c r="H277" s="420"/>
      <c r="I277" s="420">
        <f>G277*AO277</f>
        <v>0</v>
      </c>
      <c r="J277" s="420">
        <f>G277*AP277</f>
        <v>0</v>
      </c>
      <c r="K277" s="420">
        <f>G277*H277</f>
        <v>0</v>
      </c>
      <c r="L277" s="420">
        <v>0</v>
      </c>
      <c r="M277" s="420">
        <f>G277*L277</f>
        <v>0</v>
      </c>
      <c r="N277" s="421" t="s">
        <v>1358</v>
      </c>
      <c r="Z277" s="420">
        <f>IF(AQ277="5",BJ277,0)</f>
        <v>0</v>
      </c>
      <c r="AB277" s="420">
        <f>IF(AQ277="1",BH277,0)</f>
        <v>0</v>
      </c>
      <c r="AC277" s="420">
        <f>IF(AQ277="1",BI277,0)</f>
        <v>0</v>
      </c>
      <c r="AD277" s="420">
        <f>IF(AQ277="7",BH277,0)</f>
        <v>0</v>
      </c>
      <c r="AE277" s="420">
        <f>IF(AQ277="7",BI277,0)</f>
        <v>0</v>
      </c>
      <c r="AF277" s="420">
        <f>IF(AQ277="2",BH277,0)</f>
        <v>0</v>
      </c>
      <c r="AG277" s="420">
        <f>IF(AQ277="2",BI277,0)</f>
        <v>0</v>
      </c>
      <c r="AH277" s="420">
        <f>IF(AQ277="0",BJ277,0)</f>
        <v>0</v>
      </c>
      <c r="AI277" s="408" t="s">
        <v>654</v>
      </c>
      <c r="AJ277" s="420">
        <f>IF(AN277=0,K277,0)</f>
        <v>0</v>
      </c>
      <c r="AK277" s="420">
        <f>IF(AN277=15,K277,0)</f>
        <v>0</v>
      </c>
      <c r="AL277" s="420">
        <f>IF(AN277=21,K277,0)</f>
        <v>0</v>
      </c>
      <c r="AN277" s="420">
        <v>21</v>
      </c>
      <c r="AO277" s="420">
        <f>H277*0</f>
        <v>0</v>
      </c>
      <c r="AP277" s="420">
        <f>H277*(1-0)</f>
        <v>0</v>
      </c>
      <c r="AQ277" s="422" t="s">
        <v>657</v>
      </c>
      <c r="AV277" s="420">
        <f>AW277+AX277</f>
        <v>0</v>
      </c>
      <c r="AW277" s="420">
        <f>G277*AO277</f>
        <v>0</v>
      </c>
      <c r="AX277" s="420">
        <f>G277*AP277</f>
        <v>0</v>
      </c>
      <c r="AY277" s="422" t="s">
        <v>943</v>
      </c>
      <c r="AZ277" s="422" t="s">
        <v>891</v>
      </c>
      <c r="BA277" s="408" t="s">
        <v>662</v>
      </c>
      <c r="BC277" s="420">
        <f>AW277+AX277</f>
        <v>0</v>
      </c>
      <c r="BD277" s="420">
        <f>H277/(100-BE277)*100</f>
        <v>0</v>
      </c>
      <c r="BE277" s="420">
        <v>0</v>
      </c>
      <c r="BF277" s="420">
        <f>M277</f>
        <v>0</v>
      </c>
      <c r="BH277" s="420">
        <f>G277*AO277</f>
        <v>0</v>
      </c>
      <c r="BI277" s="420">
        <f>G277*AP277</f>
        <v>0</v>
      </c>
      <c r="BJ277" s="420">
        <f>G277*H277</f>
        <v>0</v>
      </c>
      <c r="BK277" s="420"/>
      <c r="BL277" s="420">
        <v>87</v>
      </c>
    </row>
    <row r="278" spans="1:64" ht="15" customHeight="1">
      <c r="A278" s="423"/>
      <c r="D278" s="424" t="s">
        <v>1453</v>
      </c>
      <c r="E278" s="424" t="s">
        <v>654</v>
      </c>
      <c r="G278" s="425">
        <v>874.7</v>
      </c>
      <c r="N278" s="426"/>
    </row>
    <row r="279" spans="1:64" ht="15" customHeight="1">
      <c r="A279" s="401" t="s">
        <v>966</v>
      </c>
      <c r="B279" s="402" t="s">
        <v>654</v>
      </c>
      <c r="C279" s="402" t="s">
        <v>960</v>
      </c>
      <c r="D279" s="440" t="s">
        <v>961</v>
      </c>
      <c r="E279" s="440"/>
      <c r="F279" s="402" t="s">
        <v>7</v>
      </c>
      <c r="G279" s="420">
        <v>918.43499999999995</v>
      </c>
      <c r="H279" s="420"/>
      <c r="I279" s="420">
        <f>G279*AO279</f>
        <v>0</v>
      </c>
      <c r="J279" s="420">
        <f>G279*AP279</f>
        <v>0</v>
      </c>
      <c r="K279" s="420">
        <f>G279*H279</f>
        <v>0</v>
      </c>
      <c r="L279" s="420">
        <v>0.40300000000000002</v>
      </c>
      <c r="M279" s="420">
        <f>G279*L279</f>
        <v>370.12930499999999</v>
      </c>
      <c r="N279" s="421" t="s">
        <v>654</v>
      </c>
      <c r="Z279" s="420">
        <f>IF(AQ279="5",BJ279,0)</f>
        <v>0</v>
      </c>
      <c r="AB279" s="420">
        <f>IF(AQ279="1",BH279,0)</f>
        <v>0</v>
      </c>
      <c r="AC279" s="420">
        <f>IF(AQ279="1",BI279,0)</f>
        <v>0</v>
      </c>
      <c r="AD279" s="420">
        <f>IF(AQ279="7",BH279,0)</f>
        <v>0</v>
      </c>
      <c r="AE279" s="420">
        <f>IF(AQ279="7",BI279,0)</f>
        <v>0</v>
      </c>
      <c r="AF279" s="420">
        <f>IF(AQ279="2",BH279,0)</f>
        <v>0</v>
      </c>
      <c r="AG279" s="420">
        <f>IF(AQ279="2",BI279,0)</f>
        <v>0</v>
      </c>
      <c r="AH279" s="420">
        <f>IF(AQ279="0",BJ279,0)</f>
        <v>0</v>
      </c>
      <c r="AI279" s="408" t="s">
        <v>654</v>
      </c>
      <c r="AJ279" s="420">
        <f>IF(AN279=0,K279,0)</f>
        <v>0</v>
      </c>
      <c r="AK279" s="420">
        <f>IF(AN279=15,K279,0)</f>
        <v>0</v>
      </c>
      <c r="AL279" s="420">
        <f>IF(AN279=21,K279,0)</f>
        <v>0</v>
      </c>
      <c r="AN279" s="420">
        <v>21</v>
      </c>
      <c r="AO279" s="420">
        <f>H279*1</f>
        <v>0</v>
      </c>
      <c r="AP279" s="420">
        <f>H279*(1-1)</f>
        <v>0</v>
      </c>
      <c r="AQ279" s="422" t="s">
        <v>657</v>
      </c>
      <c r="AV279" s="420">
        <f>AW279+AX279</f>
        <v>0</v>
      </c>
      <c r="AW279" s="420">
        <f>G279*AO279</f>
        <v>0</v>
      </c>
      <c r="AX279" s="420">
        <f>G279*AP279</f>
        <v>0</v>
      </c>
      <c r="AY279" s="422" t="s">
        <v>943</v>
      </c>
      <c r="AZ279" s="422" t="s">
        <v>891</v>
      </c>
      <c r="BA279" s="408" t="s">
        <v>662</v>
      </c>
      <c r="BC279" s="420">
        <f>AW279+AX279</f>
        <v>0</v>
      </c>
      <c r="BD279" s="420">
        <f>H279/(100-BE279)*100</f>
        <v>0</v>
      </c>
      <c r="BE279" s="420">
        <v>0</v>
      </c>
      <c r="BF279" s="420">
        <f>M279</f>
        <v>370.12930499999999</v>
      </c>
      <c r="BH279" s="420">
        <f>G279*AO279</f>
        <v>0</v>
      </c>
      <c r="BI279" s="420">
        <f>G279*AP279</f>
        <v>0</v>
      </c>
      <c r="BJ279" s="420">
        <f>G279*H279</f>
        <v>0</v>
      </c>
      <c r="BK279" s="420"/>
      <c r="BL279" s="420">
        <v>87</v>
      </c>
    </row>
    <row r="280" spans="1:64" ht="15" customHeight="1">
      <c r="A280" s="423"/>
      <c r="D280" s="424" t="s">
        <v>1454</v>
      </c>
      <c r="E280" s="424" t="s">
        <v>654</v>
      </c>
      <c r="G280" s="425">
        <v>918.43500000000006</v>
      </c>
      <c r="N280" s="426"/>
    </row>
    <row r="281" spans="1:64" ht="15" customHeight="1">
      <c r="A281" s="423"/>
      <c r="D281" s="424" t="s">
        <v>871</v>
      </c>
      <c r="E281" s="424" t="s">
        <v>654</v>
      </c>
      <c r="G281" s="425">
        <v>0</v>
      </c>
      <c r="N281" s="426"/>
    </row>
    <row r="282" spans="1:64" ht="15" customHeight="1">
      <c r="A282" s="401" t="s">
        <v>969</v>
      </c>
      <c r="B282" s="402" t="s">
        <v>654</v>
      </c>
      <c r="C282" s="402" t="s">
        <v>963</v>
      </c>
      <c r="D282" s="440" t="s">
        <v>964</v>
      </c>
      <c r="E282" s="440"/>
      <c r="F282" s="402" t="s">
        <v>7</v>
      </c>
      <c r="G282" s="420">
        <v>982.08</v>
      </c>
      <c r="H282" s="420"/>
      <c r="I282" s="420">
        <f>G282*AO282</f>
        <v>0</v>
      </c>
      <c r="J282" s="420">
        <f>G282*AP282</f>
        <v>0</v>
      </c>
      <c r="K282" s="420">
        <f>G282*H282</f>
        <v>0</v>
      </c>
      <c r="L282" s="420">
        <v>0</v>
      </c>
      <c r="M282" s="420">
        <f>G282*L282</f>
        <v>0</v>
      </c>
      <c r="N282" s="421" t="s">
        <v>1358</v>
      </c>
      <c r="Z282" s="420">
        <f>IF(AQ282="5",BJ282,0)</f>
        <v>0</v>
      </c>
      <c r="AB282" s="420">
        <f>IF(AQ282="1",BH282,0)</f>
        <v>0</v>
      </c>
      <c r="AC282" s="420">
        <f>IF(AQ282="1",BI282,0)</f>
        <v>0</v>
      </c>
      <c r="AD282" s="420">
        <f>IF(AQ282="7",BH282,0)</f>
        <v>0</v>
      </c>
      <c r="AE282" s="420">
        <f>IF(AQ282="7",BI282,0)</f>
        <v>0</v>
      </c>
      <c r="AF282" s="420">
        <f>IF(AQ282="2",BH282,0)</f>
        <v>0</v>
      </c>
      <c r="AG282" s="420">
        <f>IF(AQ282="2",BI282,0)</f>
        <v>0</v>
      </c>
      <c r="AH282" s="420">
        <f>IF(AQ282="0",BJ282,0)</f>
        <v>0</v>
      </c>
      <c r="AI282" s="408" t="s">
        <v>654</v>
      </c>
      <c r="AJ282" s="420">
        <f>IF(AN282=0,K282,0)</f>
        <v>0</v>
      </c>
      <c r="AK282" s="420">
        <f>IF(AN282=15,K282,0)</f>
        <v>0</v>
      </c>
      <c r="AL282" s="420">
        <f>IF(AN282=21,K282,0)</f>
        <v>0</v>
      </c>
      <c r="AN282" s="420">
        <v>21</v>
      </c>
      <c r="AO282" s="420">
        <f>H282*0</f>
        <v>0</v>
      </c>
      <c r="AP282" s="420">
        <f>H282*(1-0)</f>
        <v>0</v>
      </c>
      <c r="AQ282" s="422" t="s">
        <v>657</v>
      </c>
      <c r="AV282" s="420">
        <f>AW282+AX282</f>
        <v>0</v>
      </c>
      <c r="AW282" s="420">
        <f>G282*AO282</f>
        <v>0</v>
      </c>
      <c r="AX282" s="420">
        <f>G282*AP282</f>
        <v>0</v>
      </c>
      <c r="AY282" s="422" t="s">
        <v>943</v>
      </c>
      <c r="AZ282" s="422" t="s">
        <v>891</v>
      </c>
      <c r="BA282" s="408" t="s">
        <v>662</v>
      </c>
      <c r="BC282" s="420">
        <f>AW282+AX282</f>
        <v>0</v>
      </c>
      <c r="BD282" s="420">
        <f>H282/(100-BE282)*100</f>
        <v>0</v>
      </c>
      <c r="BE282" s="420">
        <v>0</v>
      </c>
      <c r="BF282" s="420">
        <f>M282</f>
        <v>0</v>
      </c>
      <c r="BH282" s="420">
        <f>G282*AO282</f>
        <v>0</v>
      </c>
      <c r="BI282" s="420">
        <f>G282*AP282</f>
        <v>0</v>
      </c>
      <c r="BJ282" s="420">
        <f>G282*H282</f>
        <v>0</v>
      </c>
      <c r="BK282" s="420"/>
      <c r="BL282" s="420">
        <v>87</v>
      </c>
    </row>
    <row r="283" spans="1:64" ht="15" customHeight="1">
      <c r="A283" s="423"/>
      <c r="D283" s="424" t="s">
        <v>1455</v>
      </c>
      <c r="E283" s="424" t="s">
        <v>654</v>
      </c>
      <c r="G283" s="425">
        <v>982.08</v>
      </c>
      <c r="N283" s="426"/>
    </row>
    <row r="284" spans="1:64" ht="15" customHeight="1">
      <c r="A284" s="423"/>
      <c r="D284" s="424" t="s">
        <v>965</v>
      </c>
      <c r="E284" s="424" t="s">
        <v>654</v>
      </c>
      <c r="G284" s="425">
        <v>0</v>
      </c>
      <c r="N284" s="426"/>
    </row>
    <row r="285" spans="1:64" ht="15" customHeight="1">
      <c r="A285" s="401" t="s">
        <v>972</v>
      </c>
      <c r="B285" s="402" t="s">
        <v>654</v>
      </c>
      <c r="C285" s="402" t="s">
        <v>967</v>
      </c>
      <c r="D285" s="440" t="s">
        <v>968</v>
      </c>
      <c r="E285" s="440"/>
      <c r="F285" s="402" t="s">
        <v>7</v>
      </c>
      <c r="G285" s="420">
        <v>1031.184</v>
      </c>
      <c r="H285" s="420"/>
      <c r="I285" s="420">
        <f>G285*AO285</f>
        <v>0</v>
      </c>
      <c r="J285" s="420">
        <f>G285*AP285</f>
        <v>0</v>
      </c>
      <c r="K285" s="420">
        <f>G285*H285</f>
        <v>0</v>
      </c>
      <c r="L285" s="420">
        <v>2.3000000000000001E-4</v>
      </c>
      <c r="M285" s="420">
        <f>G285*L285</f>
        <v>0.23717231999999999</v>
      </c>
      <c r="N285" s="421" t="s">
        <v>1358</v>
      </c>
      <c r="Z285" s="420">
        <f>IF(AQ285="5",BJ285,0)</f>
        <v>0</v>
      </c>
      <c r="AB285" s="420">
        <f>IF(AQ285="1",BH285,0)</f>
        <v>0</v>
      </c>
      <c r="AC285" s="420">
        <f>IF(AQ285="1",BI285,0)</f>
        <v>0</v>
      </c>
      <c r="AD285" s="420">
        <f>IF(AQ285="7",BH285,0)</f>
        <v>0</v>
      </c>
      <c r="AE285" s="420">
        <f>IF(AQ285="7",BI285,0)</f>
        <v>0</v>
      </c>
      <c r="AF285" s="420">
        <f>IF(AQ285="2",BH285,0)</f>
        <v>0</v>
      </c>
      <c r="AG285" s="420">
        <f>IF(AQ285="2",BI285,0)</f>
        <v>0</v>
      </c>
      <c r="AH285" s="420">
        <f>IF(AQ285="0",BJ285,0)</f>
        <v>0</v>
      </c>
      <c r="AI285" s="408" t="s">
        <v>654</v>
      </c>
      <c r="AJ285" s="420">
        <f>IF(AN285=0,K285,0)</f>
        <v>0</v>
      </c>
      <c r="AK285" s="420">
        <f>IF(AN285=15,K285,0)</f>
        <v>0</v>
      </c>
      <c r="AL285" s="420">
        <f>IF(AN285=21,K285,0)</f>
        <v>0</v>
      </c>
      <c r="AN285" s="420">
        <v>21</v>
      </c>
      <c r="AO285" s="420">
        <f>H285*1</f>
        <v>0</v>
      </c>
      <c r="AP285" s="420">
        <f>H285*(1-1)</f>
        <v>0</v>
      </c>
      <c r="AQ285" s="422" t="s">
        <v>657</v>
      </c>
      <c r="AV285" s="420">
        <f>AW285+AX285</f>
        <v>0</v>
      </c>
      <c r="AW285" s="420">
        <f>G285*AO285</f>
        <v>0</v>
      </c>
      <c r="AX285" s="420">
        <f>G285*AP285</f>
        <v>0</v>
      </c>
      <c r="AY285" s="422" t="s">
        <v>943</v>
      </c>
      <c r="AZ285" s="422" t="s">
        <v>891</v>
      </c>
      <c r="BA285" s="408" t="s">
        <v>662</v>
      </c>
      <c r="BC285" s="420">
        <f>AW285+AX285</f>
        <v>0</v>
      </c>
      <c r="BD285" s="420">
        <f>H285/(100-BE285)*100</f>
        <v>0</v>
      </c>
      <c r="BE285" s="420">
        <v>0</v>
      </c>
      <c r="BF285" s="420">
        <f>M285</f>
        <v>0.23717231999999999</v>
      </c>
      <c r="BH285" s="420">
        <f>G285*AO285</f>
        <v>0</v>
      </c>
      <c r="BI285" s="420">
        <f>G285*AP285</f>
        <v>0</v>
      </c>
      <c r="BJ285" s="420">
        <f>G285*H285</f>
        <v>0</v>
      </c>
      <c r="BK285" s="420"/>
      <c r="BL285" s="420">
        <v>87</v>
      </c>
    </row>
    <row r="286" spans="1:64" ht="15" customHeight="1">
      <c r="A286" s="423"/>
      <c r="D286" s="424" t="s">
        <v>1456</v>
      </c>
      <c r="E286" s="424" t="s">
        <v>654</v>
      </c>
      <c r="G286" s="425">
        <v>1031.1840000000002</v>
      </c>
      <c r="N286" s="426"/>
    </row>
    <row r="287" spans="1:64" ht="15" customHeight="1">
      <c r="A287" s="423"/>
      <c r="D287" s="424" t="s">
        <v>965</v>
      </c>
      <c r="E287" s="424" t="s">
        <v>654</v>
      </c>
      <c r="G287" s="425">
        <v>0</v>
      </c>
      <c r="N287" s="426"/>
    </row>
    <row r="288" spans="1:64" ht="15" customHeight="1">
      <c r="A288" s="401" t="s">
        <v>975</v>
      </c>
      <c r="B288" s="402" t="s">
        <v>654</v>
      </c>
      <c r="C288" s="402" t="s">
        <v>970</v>
      </c>
      <c r="D288" s="440" t="s">
        <v>971</v>
      </c>
      <c r="E288" s="440"/>
      <c r="F288" s="402" t="s">
        <v>7</v>
      </c>
      <c r="G288" s="420">
        <v>1031.184</v>
      </c>
      <c r="H288" s="420"/>
      <c r="I288" s="420">
        <f>G288*AO288</f>
        <v>0</v>
      </c>
      <c r="J288" s="420">
        <f>G288*AP288</f>
        <v>0</v>
      </c>
      <c r="K288" s="420">
        <f>G288*H288</f>
        <v>0</v>
      </c>
      <c r="L288" s="420">
        <v>1E-4</v>
      </c>
      <c r="M288" s="420">
        <f>G288*L288</f>
        <v>0.1031184</v>
      </c>
      <c r="N288" s="421" t="s">
        <v>654</v>
      </c>
      <c r="Z288" s="420">
        <f>IF(AQ288="5",BJ288,0)</f>
        <v>0</v>
      </c>
      <c r="AB288" s="420">
        <f>IF(AQ288="1",BH288,0)</f>
        <v>0</v>
      </c>
      <c r="AC288" s="420">
        <f>IF(AQ288="1",BI288,0)</f>
        <v>0</v>
      </c>
      <c r="AD288" s="420">
        <f>IF(AQ288="7",BH288,0)</f>
        <v>0</v>
      </c>
      <c r="AE288" s="420">
        <f>IF(AQ288="7",BI288,0)</f>
        <v>0</v>
      </c>
      <c r="AF288" s="420">
        <f>IF(AQ288="2",BH288,0)</f>
        <v>0</v>
      </c>
      <c r="AG288" s="420">
        <f>IF(AQ288="2",BI288,0)</f>
        <v>0</v>
      </c>
      <c r="AH288" s="420">
        <f>IF(AQ288="0",BJ288,0)</f>
        <v>0</v>
      </c>
      <c r="AI288" s="408" t="s">
        <v>654</v>
      </c>
      <c r="AJ288" s="420">
        <f>IF(AN288=0,K288,0)</f>
        <v>0</v>
      </c>
      <c r="AK288" s="420">
        <f>IF(AN288=15,K288,0)</f>
        <v>0</v>
      </c>
      <c r="AL288" s="420">
        <f>IF(AN288=21,K288,0)</f>
        <v>0</v>
      </c>
      <c r="AN288" s="420">
        <v>21</v>
      </c>
      <c r="AO288" s="420">
        <f>H288*1</f>
        <v>0</v>
      </c>
      <c r="AP288" s="420">
        <f>H288*(1-1)</f>
        <v>0</v>
      </c>
      <c r="AQ288" s="422" t="s">
        <v>657</v>
      </c>
      <c r="AV288" s="420">
        <f>AW288+AX288</f>
        <v>0</v>
      </c>
      <c r="AW288" s="420">
        <f>G288*AO288</f>
        <v>0</v>
      </c>
      <c r="AX288" s="420">
        <f>G288*AP288</f>
        <v>0</v>
      </c>
      <c r="AY288" s="422" t="s">
        <v>943</v>
      </c>
      <c r="AZ288" s="422" t="s">
        <v>891</v>
      </c>
      <c r="BA288" s="408" t="s">
        <v>662</v>
      </c>
      <c r="BC288" s="420">
        <f>AW288+AX288</f>
        <v>0</v>
      </c>
      <c r="BD288" s="420">
        <f>H288/(100-BE288)*100</f>
        <v>0</v>
      </c>
      <c r="BE288" s="420">
        <v>0</v>
      </c>
      <c r="BF288" s="420">
        <f>M288</f>
        <v>0.1031184</v>
      </c>
      <c r="BH288" s="420">
        <f>G288*AO288</f>
        <v>0</v>
      </c>
      <c r="BI288" s="420">
        <f>G288*AP288</f>
        <v>0</v>
      </c>
      <c r="BJ288" s="420">
        <f>G288*H288</f>
        <v>0</v>
      </c>
      <c r="BK288" s="420"/>
      <c r="BL288" s="420">
        <v>87</v>
      </c>
    </row>
    <row r="289" spans="1:64" ht="15" customHeight="1">
      <c r="A289" s="423"/>
      <c r="D289" s="424" t="s">
        <v>1456</v>
      </c>
      <c r="E289" s="424" t="s">
        <v>654</v>
      </c>
      <c r="G289" s="425">
        <v>1031.1840000000002</v>
      </c>
      <c r="N289" s="426"/>
    </row>
    <row r="290" spans="1:64" ht="15" customHeight="1">
      <c r="A290" s="423"/>
      <c r="D290" s="424" t="s">
        <v>965</v>
      </c>
      <c r="E290" s="424" t="s">
        <v>654</v>
      </c>
      <c r="G290" s="425">
        <v>0</v>
      </c>
      <c r="N290" s="426"/>
    </row>
    <row r="291" spans="1:64" ht="15" customHeight="1">
      <c r="A291" s="401" t="s">
        <v>981</v>
      </c>
      <c r="B291" s="402" t="s">
        <v>654</v>
      </c>
      <c r="C291" s="402" t="s">
        <v>973</v>
      </c>
      <c r="D291" s="440" t="s">
        <v>974</v>
      </c>
      <c r="E291" s="440"/>
      <c r="F291" s="402" t="s">
        <v>7</v>
      </c>
      <c r="G291" s="420">
        <v>2278.6995000000002</v>
      </c>
      <c r="H291" s="420"/>
      <c r="I291" s="420">
        <f>G291*AO291</f>
        <v>0</v>
      </c>
      <c r="J291" s="420">
        <f>G291*AP291</f>
        <v>0</v>
      </c>
      <c r="K291" s="420">
        <f>G291*H291</f>
        <v>0</v>
      </c>
      <c r="L291" s="420">
        <v>0</v>
      </c>
      <c r="M291" s="420">
        <f>G291*L291</f>
        <v>0</v>
      </c>
      <c r="N291" s="421" t="s">
        <v>1358</v>
      </c>
      <c r="Z291" s="420">
        <f>IF(AQ291="5",BJ291,0)</f>
        <v>0</v>
      </c>
      <c r="AB291" s="420">
        <f>IF(AQ291="1",BH291,0)</f>
        <v>0</v>
      </c>
      <c r="AC291" s="420">
        <f>IF(AQ291="1",BI291,0)</f>
        <v>0</v>
      </c>
      <c r="AD291" s="420">
        <f>IF(AQ291="7",BH291,0)</f>
        <v>0</v>
      </c>
      <c r="AE291" s="420">
        <f>IF(AQ291="7",BI291,0)</f>
        <v>0</v>
      </c>
      <c r="AF291" s="420">
        <f>IF(AQ291="2",BH291,0)</f>
        <v>0</v>
      </c>
      <c r="AG291" s="420">
        <f>IF(AQ291="2",BI291,0)</f>
        <v>0</v>
      </c>
      <c r="AH291" s="420">
        <f>IF(AQ291="0",BJ291,0)</f>
        <v>0</v>
      </c>
      <c r="AI291" s="408" t="s">
        <v>654</v>
      </c>
      <c r="AJ291" s="420">
        <f>IF(AN291=0,K291,0)</f>
        <v>0</v>
      </c>
      <c r="AK291" s="420">
        <f>IF(AN291=15,K291,0)</f>
        <v>0</v>
      </c>
      <c r="AL291" s="420">
        <f>IF(AN291=21,K291,0)</f>
        <v>0</v>
      </c>
      <c r="AN291" s="420">
        <v>21</v>
      </c>
      <c r="AO291" s="420">
        <f>H291*0.322424257431273</f>
        <v>0</v>
      </c>
      <c r="AP291" s="420">
        <f>H291*(1-0.322424257431273)</f>
        <v>0</v>
      </c>
      <c r="AQ291" s="422" t="s">
        <v>657</v>
      </c>
      <c r="AV291" s="420">
        <f>AW291+AX291</f>
        <v>0</v>
      </c>
      <c r="AW291" s="420">
        <f>G291*AO291</f>
        <v>0</v>
      </c>
      <c r="AX291" s="420">
        <f>G291*AP291</f>
        <v>0</v>
      </c>
      <c r="AY291" s="422" t="s">
        <v>943</v>
      </c>
      <c r="AZ291" s="422" t="s">
        <v>891</v>
      </c>
      <c r="BA291" s="408" t="s">
        <v>662</v>
      </c>
      <c r="BC291" s="420">
        <f>AW291+AX291</f>
        <v>0</v>
      </c>
      <c r="BD291" s="420">
        <f>H291/(100-BE291)*100</f>
        <v>0</v>
      </c>
      <c r="BE291" s="420">
        <v>0</v>
      </c>
      <c r="BF291" s="420">
        <f>M291</f>
        <v>0</v>
      </c>
      <c r="BH291" s="420">
        <f>G291*AO291</f>
        <v>0</v>
      </c>
      <c r="BI291" s="420">
        <f>G291*AP291</f>
        <v>0</v>
      </c>
      <c r="BJ291" s="420">
        <f>G291*H291</f>
        <v>0</v>
      </c>
      <c r="BK291" s="420"/>
      <c r="BL291" s="420">
        <v>87</v>
      </c>
    </row>
    <row r="292" spans="1:64" ht="15" customHeight="1">
      <c r="A292" s="423"/>
      <c r="D292" s="424" t="s">
        <v>1457</v>
      </c>
      <c r="E292" s="424" t="s">
        <v>654</v>
      </c>
      <c r="G292" s="425">
        <v>367.15000000000003</v>
      </c>
      <c r="N292" s="426"/>
    </row>
    <row r="293" spans="1:64" ht="15" customHeight="1">
      <c r="A293" s="423"/>
      <c r="D293" s="424" t="s">
        <v>1458</v>
      </c>
      <c r="E293" s="424" t="s">
        <v>654</v>
      </c>
      <c r="G293" s="425">
        <v>83.5</v>
      </c>
      <c r="N293" s="426"/>
    </row>
    <row r="294" spans="1:64" ht="15" customHeight="1">
      <c r="A294" s="423"/>
      <c r="D294" s="424" t="s">
        <v>1459</v>
      </c>
      <c r="E294" s="424" t="s">
        <v>654</v>
      </c>
      <c r="G294" s="425">
        <v>1719.5400000000002</v>
      </c>
      <c r="N294" s="426"/>
    </row>
    <row r="295" spans="1:64" ht="15" customHeight="1">
      <c r="A295" s="423"/>
      <c r="D295" s="424" t="s">
        <v>1460</v>
      </c>
      <c r="E295" s="424" t="s">
        <v>654</v>
      </c>
      <c r="G295" s="425">
        <v>108.5095</v>
      </c>
      <c r="N295" s="426"/>
    </row>
    <row r="296" spans="1:64" ht="15" customHeight="1">
      <c r="A296" s="401" t="s">
        <v>985</v>
      </c>
      <c r="B296" s="402" t="s">
        <v>654</v>
      </c>
      <c r="C296" s="402" t="s">
        <v>976</v>
      </c>
      <c r="D296" s="440" t="s">
        <v>977</v>
      </c>
      <c r="E296" s="440"/>
      <c r="F296" s="402" t="s">
        <v>7</v>
      </c>
      <c r="G296" s="420">
        <v>5</v>
      </c>
      <c r="H296" s="420"/>
      <c r="I296" s="420">
        <f>G296*AO296</f>
        <v>0</v>
      </c>
      <c r="J296" s="420">
        <f>G296*AP296</f>
        <v>0</v>
      </c>
      <c r="K296" s="420">
        <f>G296*H296</f>
        <v>0</v>
      </c>
      <c r="L296" s="420">
        <v>0</v>
      </c>
      <c r="M296" s="420">
        <f>G296*L296</f>
        <v>0</v>
      </c>
      <c r="N296" s="421" t="s">
        <v>654</v>
      </c>
      <c r="Z296" s="420">
        <f>IF(AQ296="5",BJ296,0)</f>
        <v>0</v>
      </c>
      <c r="AB296" s="420">
        <f>IF(AQ296="1",BH296,0)</f>
        <v>0</v>
      </c>
      <c r="AC296" s="420">
        <f>IF(AQ296="1",BI296,0)</f>
        <v>0</v>
      </c>
      <c r="AD296" s="420">
        <f>IF(AQ296="7",BH296,0)</f>
        <v>0</v>
      </c>
      <c r="AE296" s="420">
        <f>IF(AQ296="7",BI296,0)</f>
        <v>0</v>
      </c>
      <c r="AF296" s="420">
        <f>IF(AQ296="2",BH296,0)</f>
        <v>0</v>
      </c>
      <c r="AG296" s="420">
        <f>IF(AQ296="2",BI296,0)</f>
        <v>0</v>
      </c>
      <c r="AH296" s="420">
        <f>IF(AQ296="0",BJ296,0)</f>
        <v>0</v>
      </c>
      <c r="AI296" s="408" t="s">
        <v>654</v>
      </c>
      <c r="AJ296" s="420">
        <f>IF(AN296=0,K296,0)</f>
        <v>0</v>
      </c>
      <c r="AK296" s="420">
        <f>IF(AN296=15,K296,0)</f>
        <v>0</v>
      </c>
      <c r="AL296" s="420">
        <f>IF(AN296=21,K296,0)</f>
        <v>0</v>
      </c>
      <c r="AN296" s="420">
        <v>21</v>
      </c>
      <c r="AO296" s="420">
        <f>H296*0.6</f>
        <v>0</v>
      </c>
      <c r="AP296" s="420">
        <f>H296*(1-0.6)</f>
        <v>0</v>
      </c>
      <c r="AQ296" s="422" t="s">
        <v>657</v>
      </c>
      <c r="AV296" s="420">
        <f>AW296+AX296</f>
        <v>0</v>
      </c>
      <c r="AW296" s="420">
        <f>G296*AO296</f>
        <v>0</v>
      </c>
      <c r="AX296" s="420">
        <f>G296*AP296</f>
        <v>0</v>
      </c>
      <c r="AY296" s="422" t="s">
        <v>943</v>
      </c>
      <c r="AZ296" s="422" t="s">
        <v>891</v>
      </c>
      <c r="BA296" s="408" t="s">
        <v>662</v>
      </c>
      <c r="BC296" s="420">
        <f>AW296+AX296</f>
        <v>0</v>
      </c>
      <c r="BD296" s="420">
        <f>H296/(100-BE296)*100</f>
        <v>0</v>
      </c>
      <c r="BE296" s="420">
        <v>0</v>
      </c>
      <c r="BF296" s="420">
        <f>M296</f>
        <v>0</v>
      </c>
      <c r="BH296" s="420">
        <f>G296*AO296</f>
        <v>0</v>
      </c>
      <c r="BI296" s="420">
        <f>G296*AP296</f>
        <v>0</v>
      </c>
      <c r="BJ296" s="420">
        <f>G296*H296</f>
        <v>0</v>
      </c>
      <c r="BK296" s="420"/>
      <c r="BL296" s="420">
        <v>87</v>
      </c>
    </row>
    <row r="297" spans="1:64" ht="15" customHeight="1">
      <c r="A297" s="423"/>
      <c r="D297" s="424" t="s">
        <v>978</v>
      </c>
      <c r="E297" s="424" t="s">
        <v>654</v>
      </c>
      <c r="G297" s="425">
        <v>5</v>
      </c>
      <c r="N297" s="426"/>
    </row>
    <row r="298" spans="1:64" ht="15" customHeight="1">
      <c r="A298" s="416" t="s">
        <v>654</v>
      </c>
      <c r="B298" s="417" t="s">
        <v>654</v>
      </c>
      <c r="C298" s="417" t="s">
        <v>979</v>
      </c>
      <c r="D298" s="455" t="s">
        <v>980</v>
      </c>
      <c r="E298" s="455"/>
      <c r="F298" s="418" t="s">
        <v>608</v>
      </c>
      <c r="G298" s="418" t="s">
        <v>608</v>
      </c>
      <c r="H298" s="418"/>
      <c r="I298" s="400">
        <f>SUM(I299:I301)</f>
        <v>0</v>
      </c>
      <c r="J298" s="400">
        <f>SUM(J299:J301)</f>
        <v>0</v>
      </c>
      <c r="K298" s="400">
        <f>SUM(K299:K301)</f>
        <v>0</v>
      </c>
      <c r="L298" s="408" t="s">
        <v>654</v>
      </c>
      <c r="M298" s="400">
        <f>SUM(M299:M301)</f>
        <v>0.49496832000000002</v>
      </c>
      <c r="N298" s="419" t="s">
        <v>654</v>
      </c>
      <c r="AI298" s="408" t="s">
        <v>654</v>
      </c>
      <c r="AS298" s="400">
        <f>SUM(AJ299:AJ301)</f>
        <v>0</v>
      </c>
      <c r="AT298" s="400">
        <f>SUM(AK299:AK301)</f>
        <v>0</v>
      </c>
      <c r="AU298" s="400">
        <f>SUM(AL299:AL301)</f>
        <v>0</v>
      </c>
    </row>
    <row r="299" spans="1:64" ht="15" customHeight="1">
      <c r="A299" s="401" t="s">
        <v>990</v>
      </c>
      <c r="B299" s="402" t="s">
        <v>654</v>
      </c>
      <c r="C299" s="402" t="s">
        <v>982</v>
      </c>
      <c r="D299" s="440" t="s">
        <v>983</v>
      </c>
      <c r="E299" s="440"/>
      <c r="F299" s="402" t="s">
        <v>7</v>
      </c>
      <c r="G299" s="420">
        <v>982.08</v>
      </c>
      <c r="H299" s="420"/>
      <c r="I299" s="420">
        <f>G299*AO299</f>
        <v>0</v>
      </c>
      <c r="J299" s="420">
        <f>G299*AP299</f>
        <v>0</v>
      </c>
      <c r="K299" s="420">
        <f>G299*H299</f>
        <v>0</v>
      </c>
      <c r="L299" s="420">
        <v>0</v>
      </c>
      <c r="M299" s="420">
        <f>G299*L299</f>
        <v>0</v>
      </c>
      <c r="N299" s="421" t="s">
        <v>1358</v>
      </c>
      <c r="Z299" s="420">
        <f>IF(AQ299="5",BJ299,0)</f>
        <v>0</v>
      </c>
      <c r="AB299" s="420">
        <f>IF(AQ299="1",BH299,0)</f>
        <v>0</v>
      </c>
      <c r="AC299" s="420">
        <f>IF(AQ299="1",BI299,0)</f>
        <v>0</v>
      </c>
      <c r="AD299" s="420">
        <f>IF(AQ299="7",BH299,0)</f>
        <v>0</v>
      </c>
      <c r="AE299" s="420">
        <f>IF(AQ299="7",BI299,0)</f>
        <v>0</v>
      </c>
      <c r="AF299" s="420">
        <f>IF(AQ299="2",BH299,0)</f>
        <v>0</v>
      </c>
      <c r="AG299" s="420">
        <f>IF(AQ299="2",BI299,0)</f>
        <v>0</v>
      </c>
      <c r="AH299" s="420">
        <f>IF(AQ299="0",BJ299,0)</f>
        <v>0</v>
      </c>
      <c r="AI299" s="408" t="s">
        <v>654</v>
      </c>
      <c r="AJ299" s="420">
        <f>IF(AN299=0,K299,0)</f>
        <v>0</v>
      </c>
      <c r="AK299" s="420">
        <f>IF(AN299=15,K299,0)</f>
        <v>0</v>
      </c>
      <c r="AL299" s="420">
        <f>IF(AN299=21,K299,0)</f>
        <v>0</v>
      </c>
      <c r="AN299" s="420">
        <v>21</v>
      </c>
      <c r="AO299" s="420">
        <f>H299*0</f>
        <v>0</v>
      </c>
      <c r="AP299" s="420">
        <f>H299*(1-0)</f>
        <v>0</v>
      </c>
      <c r="AQ299" s="422" t="s">
        <v>657</v>
      </c>
      <c r="AV299" s="420">
        <f>AW299+AX299</f>
        <v>0</v>
      </c>
      <c r="AW299" s="420">
        <f>G299*AO299</f>
        <v>0</v>
      </c>
      <c r="AX299" s="420">
        <f>G299*AP299</f>
        <v>0</v>
      </c>
      <c r="AY299" s="422" t="s">
        <v>984</v>
      </c>
      <c r="AZ299" s="422" t="s">
        <v>891</v>
      </c>
      <c r="BA299" s="408" t="s">
        <v>662</v>
      </c>
      <c r="BC299" s="420">
        <f>AW299+AX299</f>
        <v>0</v>
      </c>
      <c r="BD299" s="420">
        <f>H299/(100-BE299)*100</f>
        <v>0</v>
      </c>
      <c r="BE299" s="420">
        <v>0</v>
      </c>
      <c r="BF299" s="420">
        <f>M299</f>
        <v>0</v>
      </c>
      <c r="BH299" s="420">
        <f>G299*AO299</f>
        <v>0</v>
      </c>
      <c r="BI299" s="420">
        <f>G299*AP299</f>
        <v>0</v>
      </c>
      <c r="BJ299" s="420">
        <f>G299*H299</f>
        <v>0</v>
      </c>
      <c r="BK299" s="420"/>
      <c r="BL299" s="420">
        <v>88</v>
      </c>
    </row>
    <row r="300" spans="1:64" ht="15" customHeight="1">
      <c r="A300" s="423"/>
      <c r="D300" s="424" t="s">
        <v>1461</v>
      </c>
      <c r="E300" s="424" t="s">
        <v>654</v>
      </c>
      <c r="G300" s="425">
        <v>982.08</v>
      </c>
      <c r="N300" s="426"/>
    </row>
    <row r="301" spans="1:64" ht="15" customHeight="1">
      <c r="A301" s="401" t="s">
        <v>994</v>
      </c>
      <c r="B301" s="402" t="s">
        <v>654</v>
      </c>
      <c r="C301" s="402" t="s">
        <v>986</v>
      </c>
      <c r="D301" s="440" t="s">
        <v>987</v>
      </c>
      <c r="E301" s="440"/>
      <c r="F301" s="402" t="s">
        <v>7</v>
      </c>
      <c r="G301" s="420">
        <v>1031.184</v>
      </c>
      <c r="H301" s="420"/>
      <c r="I301" s="420">
        <f>G301*AO301</f>
        <v>0</v>
      </c>
      <c r="J301" s="420">
        <f>G301*AP301</f>
        <v>0</v>
      </c>
      <c r="K301" s="420">
        <f>G301*H301</f>
        <v>0</v>
      </c>
      <c r="L301" s="420">
        <v>4.8000000000000001E-4</v>
      </c>
      <c r="M301" s="420">
        <f>G301*L301</f>
        <v>0.49496832000000002</v>
      </c>
      <c r="N301" s="421" t="s">
        <v>1358</v>
      </c>
      <c r="Z301" s="420">
        <f>IF(AQ301="5",BJ301,0)</f>
        <v>0</v>
      </c>
      <c r="AB301" s="420">
        <f>IF(AQ301="1",BH301,0)</f>
        <v>0</v>
      </c>
      <c r="AC301" s="420">
        <f>IF(AQ301="1",BI301,0)</f>
        <v>0</v>
      </c>
      <c r="AD301" s="420">
        <f>IF(AQ301="7",BH301,0)</f>
        <v>0</v>
      </c>
      <c r="AE301" s="420">
        <f>IF(AQ301="7",BI301,0)</f>
        <v>0</v>
      </c>
      <c r="AF301" s="420">
        <f>IF(AQ301="2",BH301,0)</f>
        <v>0</v>
      </c>
      <c r="AG301" s="420">
        <f>IF(AQ301="2",BI301,0)</f>
        <v>0</v>
      </c>
      <c r="AH301" s="420">
        <f>IF(AQ301="0",BJ301,0)</f>
        <v>0</v>
      </c>
      <c r="AI301" s="408" t="s">
        <v>654</v>
      </c>
      <c r="AJ301" s="420">
        <f>IF(AN301=0,K301,0)</f>
        <v>0</v>
      </c>
      <c r="AK301" s="420">
        <f>IF(AN301=15,K301,0)</f>
        <v>0</v>
      </c>
      <c r="AL301" s="420">
        <f>IF(AN301=21,K301,0)</f>
        <v>0</v>
      </c>
      <c r="AN301" s="420">
        <v>21</v>
      </c>
      <c r="AO301" s="420">
        <f>H301*1</f>
        <v>0</v>
      </c>
      <c r="AP301" s="420">
        <f>H301*(1-1)</f>
        <v>0</v>
      </c>
      <c r="AQ301" s="422" t="s">
        <v>657</v>
      </c>
      <c r="AV301" s="420">
        <f>AW301+AX301</f>
        <v>0</v>
      </c>
      <c r="AW301" s="420">
        <f>G301*AO301</f>
        <v>0</v>
      </c>
      <c r="AX301" s="420">
        <f>G301*AP301</f>
        <v>0</v>
      </c>
      <c r="AY301" s="422" t="s">
        <v>984</v>
      </c>
      <c r="AZ301" s="422" t="s">
        <v>891</v>
      </c>
      <c r="BA301" s="408" t="s">
        <v>662</v>
      </c>
      <c r="BC301" s="420">
        <f>AW301+AX301</f>
        <v>0</v>
      </c>
      <c r="BD301" s="420">
        <f>H301/(100-BE301)*100</f>
        <v>0</v>
      </c>
      <c r="BE301" s="420">
        <v>0</v>
      </c>
      <c r="BF301" s="420">
        <f>M301</f>
        <v>0.49496832000000002</v>
      </c>
      <c r="BH301" s="420">
        <f>G301*AO301</f>
        <v>0</v>
      </c>
      <c r="BI301" s="420">
        <f>G301*AP301</f>
        <v>0</v>
      </c>
      <c r="BJ301" s="420">
        <f>G301*H301</f>
        <v>0</v>
      </c>
      <c r="BK301" s="420"/>
      <c r="BL301" s="420">
        <v>88</v>
      </c>
    </row>
    <row r="302" spans="1:64" ht="15" customHeight="1">
      <c r="A302" s="423"/>
      <c r="D302" s="424" t="s">
        <v>1456</v>
      </c>
      <c r="E302" s="424" t="s">
        <v>654</v>
      </c>
      <c r="G302" s="425">
        <v>1031.1840000000002</v>
      </c>
      <c r="N302" s="426"/>
    </row>
    <row r="303" spans="1:64" ht="15" customHeight="1">
      <c r="A303" s="416" t="s">
        <v>654</v>
      </c>
      <c r="B303" s="417" t="s">
        <v>654</v>
      </c>
      <c r="C303" s="417" t="s">
        <v>988</v>
      </c>
      <c r="D303" s="455" t="s">
        <v>989</v>
      </c>
      <c r="E303" s="455"/>
      <c r="F303" s="418" t="s">
        <v>608</v>
      </c>
      <c r="G303" s="418" t="s">
        <v>608</v>
      </c>
      <c r="H303" s="418"/>
      <c r="I303" s="400">
        <f>SUM(I304:I320)</f>
        <v>0</v>
      </c>
      <c r="J303" s="400">
        <f>SUM(J304:J320)</f>
        <v>0</v>
      </c>
      <c r="K303" s="400">
        <f>SUM(K304:K320)</f>
        <v>0</v>
      </c>
      <c r="L303" s="408" t="s">
        <v>654</v>
      </c>
      <c r="M303" s="400">
        <f>SUM(M304:M320)</f>
        <v>1.4499999999999999E-3</v>
      </c>
      <c r="N303" s="419" t="s">
        <v>654</v>
      </c>
      <c r="AI303" s="408" t="s">
        <v>654</v>
      </c>
      <c r="AS303" s="400">
        <f>SUM(AJ304:AJ320)</f>
        <v>0</v>
      </c>
      <c r="AT303" s="400">
        <f>SUM(AK304:AK320)</f>
        <v>0</v>
      </c>
      <c r="AU303" s="400">
        <f>SUM(AL304:AL320)</f>
        <v>0</v>
      </c>
    </row>
    <row r="304" spans="1:64" ht="15" customHeight="1">
      <c r="A304" s="401" t="s">
        <v>885</v>
      </c>
      <c r="B304" s="402" t="s">
        <v>654</v>
      </c>
      <c r="C304" s="402" t="s">
        <v>991</v>
      </c>
      <c r="D304" s="440" t="s">
        <v>992</v>
      </c>
      <c r="E304" s="440"/>
      <c r="F304" s="402" t="s">
        <v>7</v>
      </c>
      <c r="G304" s="420">
        <v>573.17999999999995</v>
      </c>
      <c r="H304" s="420"/>
      <c r="I304" s="420">
        <f>G304*AO304</f>
        <v>0</v>
      </c>
      <c r="J304" s="420">
        <f>G304*AP304</f>
        <v>0</v>
      </c>
      <c r="K304" s="420">
        <f>G304*H304</f>
        <v>0</v>
      </c>
      <c r="L304" s="420">
        <v>0</v>
      </c>
      <c r="M304" s="420">
        <f>G304*L304</f>
        <v>0</v>
      </c>
      <c r="N304" s="421" t="s">
        <v>1358</v>
      </c>
      <c r="Z304" s="420">
        <f>IF(AQ304="5",BJ304,0)</f>
        <v>0</v>
      </c>
      <c r="AB304" s="420">
        <f>IF(AQ304="1",BH304,0)</f>
        <v>0</v>
      </c>
      <c r="AC304" s="420">
        <f>IF(AQ304="1",BI304,0)</f>
        <v>0</v>
      </c>
      <c r="AD304" s="420">
        <f>IF(AQ304="7",BH304,0)</f>
        <v>0</v>
      </c>
      <c r="AE304" s="420">
        <f>IF(AQ304="7",BI304,0)</f>
        <v>0</v>
      </c>
      <c r="AF304" s="420">
        <f>IF(AQ304="2",BH304,0)</f>
        <v>0</v>
      </c>
      <c r="AG304" s="420">
        <f>IF(AQ304="2",BI304,0)</f>
        <v>0</v>
      </c>
      <c r="AH304" s="420">
        <f>IF(AQ304="0",BJ304,0)</f>
        <v>0</v>
      </c>
      <c r="AI304" s="408" t="s">
        <v>654</v>
      </c>
      <c r="AJ304" s="420">
        <f>IF(AN304=0,K304,0)</f>
        <v>0</v>
      </c>
      <c r="AK304" s="420">
        <f>IF(AN304=15,K304,0)</f>
        <v>0</v>
      </c>
      <c r="AL304" s="420">
        <f>IF(AN304=21,K304,0)</f>
        <v>0</v>
      </c>
      <c r="AN304" s="420">
        <v>21</v>
      </c>
      <c r="AO304" s="420">
        <f>H304*0.0295666349392763</f>
        <v>0</v>
      </c>
      <c r="AP304" s="420">
        <f>H304*(1-0.0295666349392763)</f>
        <v>0</v>
      </c>
      <c r="AQ304" s="422" t="s">
        <v>657</v>
      </c>
      <c r="AV304" s="420">
        <f>AW304+AX304</f>
        <v>0</v>
      </c>
      <c r="AW304" s="420">
        <f>G304*AO304</f>
        <v>0</v>
      </c>
      <c r="AX304" s="420">
        <f>G304*AP304</f>
        <v>0</v>
      </c>
      <c r="AY304" s="422" t="s">
        <v>993</v>
      </c>
      <c r="AZ304" s="422" t="s">
        <v>891</v>
      </c>
      <c r="BA304" s="408" t="s">
        <v>662</v>
      </c>
      <c r="BC304" s="420">
        <f>AW304+AX304</f>
        <v>0</v>
      </c>
      <c r="BD304" s="420">
        <f>H304/(100-BE304)*100</f>
        <v>0</v>
      </c>
      <c r="BE304" s="420">
        <v>0</v>
      </c>
      <c r="BF304" s="420">
        <f>M304</f>
        <v>0</v>
      </c>
      <c r="BH304" s="420">
        <f>G304*AO304</f>
        <v>0</v>
      </c>
      <c r="BI304" s="420">
        <f>G304*AP304</f>
        <v>0</v>
      </c>
      <c r="BJ304" s="420">
        <f>G304*H304</f>
        <v>0</v>
      </c>
      <c r="BK304" s="420"/>
      <c r="BL304" s="420">
        <v>89</v>
      </c>
    </row>
    <row r="305" spans="1:64" ht="15" customHeight="1">
      <c r="A305" s="423"/>
      <c r="D305" s="424" t="s">
        <v>1451</v>
      </c>
      <c r="E305" s="424" t="s">
        <v>654</v>
      </c>
      <c r="G305" s="425">
        <v>573.18000000000006</v>
      </c>
      <c r="N305" s="426"/>
    </row>
    <row r="306" spans="1:64" ht="15" customHeight="1">
      <c r="A306" s="401" t="s">
        <v>1001</v>
      </c>
      <c r="B306" s="402" t="s">
        <v>654</v>
      </c>
      <c r="C306" s="402" t="s">
        <v>995</v>
      </c>
      <c r="D306" s="440" t="s">
        <v>996</v>
      </c>
      <c r="E306" s="440"/>
      <c r="F306" s="402" t="s">
        <v>7</v>
      </c>
      <c r="G306" s="420">
        <v>1630.89</v>
      </c>
      <c r="H306" s="420"/>
      <c r="I306" s="420">
        <f>G306*AO306</f>
        <v>0</v>
      </c>
      <c r="J306" s="420">
        <f>G306*AP306</f>
        <v>0</v>
      </c>
      <c r="K306" s="420">
        <f>G306*H306</f>
        <v>0</v>
      </c>
      <c r="L306" s="420">
        <v>0</v>
      </c>
      <c r="M306" s="420">
        <f>G306*L306</f>
        <v>0</v>
      </c>
      <c r="N306" s="421" t="s">
        <v>1358</v>
      </c>
      <c r="Z306" s="420">
        <f>IF(AQ306="5",BJ306,0)</f>
        <v>0</v>
      </c>
      <c r="AB306" s="420">
        <f>IF(AQ306="1",BH306,0)</f>
        <v>0</v>
      </c>
      <c r="AC306" s="420">
        <f>IF(AQ306="1",BI306,0)</f>
        <v>0</v>
      </c>
      <c r="AD306" s="420">
        <f>IF(AQ306="7",BH306,0)</f>
        <v>0</v>
      </c>
      <c r="AE306" s="420">
        <f>IF(AQ306="7",BI306,0)</f>
        <v>0</v>
      </c>
      <c r="AF306" s="420">
        <f>IF(AQ306="2",BH306,0)</f>
        <v>0</v>
      </c>
      <c r="AG306" s="420">
        <f>IF(AQ306="2",BI306,0)</f>
        <v>0</v>
      </c>
      <c r="AH306" s="420">
        <f>IF(AQ306="0",BJ306,0)</f>
        <v>0</v>
      </c>
      <c r="AI306" s="408" t="s">
        <v>654</v>
      </c>
      <c r="AJ306" s="420">
        <f>IF(AN306=0,K306,0)</f>
        <v>0</v>
      </c>
      <c r="AK306" s="420">
        <f>IF(AN306=15,K306,0)</f>
        <v>0</v>
      </c>
      <c r="AL306" s="420">
        <f>IF(AN306=21,K306,0)</f>
        <v>0</v>
      </c>
      <c r="AN306" s="420">
        <v>21</v>
      </c>
      <c r="AO306" s="420">
        <f>H306*0.0586206907819432</f>
        <v>0</v>
      </c>
      <c r="AP306" s="420">
        <f>H306*(1-0.0586206907819432)</f>
        <v>0</v>
      </c>
      <c r="AQ306" s="422" t="s">
        <v>657</v>
      </c>
      <c r="AV306" s="420">
        <f>AW306+AX306</f>
        <v>0</v>
      </c>
      <c r="AW306" s="420">
        <f>G306*AO306</f>
        <v>0</v>
      </c>
      <c r="AX306" s="420">
        <f>G306*AP306</f>
        <v>0</v>
      </c>
      <c r="AY306" s="422" t="s">
        <v>993</v>
      </c>
      <c r="AZ306" s="422" t="s">
        <v>891</v>
      </c>
      <c r="BA306" s="408" t="s">
        <v>662</v>
      </c>
      <c r="BC306" s="420">
        <f>AW306+AX306</f>
        <v>0</v>
      </c>
      <c r="BD306" s="420">
        <f>H306/(100-BE306)*100</f>
        <v>0</v>
      </c>
      <c r="BE306" s="420">
        <v>0</v>
      </c>
      <c r="BF306" s="420">
        <f>M306</f>
        <v>0</v>
      </c>
      <c r="BH306" s="420">
        <f>G306*AO306</f>
        <v>0</v>
      </c>
      <c r="BI306" s="420">
        <f>G306*AP306</f>
        <v>0</v>
      </c>
      <c r="BJ306" s="420">
        <f>G306*H306</f>
        <v>0</v>
      </c>
      <c r="BK306" s="420"/>
      <c r="BL306" s="420">
        <v>89</v>
      </c>
    </row>
    <row r="307" spans="1:64" ht="15" customHeight="1">
      <c r="A307" s="423"/>
      <c r="D307" s="424" t="s">
        <v>1453</v>
      </c>
      <c r="E307" s="424" t="s">
        <v>654</v>
      </c>
      <c r="G307" s="425">
        <v>874.7</v>
      </c>
      <c r="N307" s="426"/>
    </row>
    <row r="308" spans="1:64" ht="15" customHeight="1">
      <c r="A308" s="423"/>
      <c r="D308" s="424" t="s">
        <v>1462</v>
      </c>
      <c r="E308" s="424" t="s">
        <v>654</v>
      </c>
      <c r="G308" s="425">
        <v>721.58</v>
      </c>
      <c r="N308" s="426"/>
    </row>
    <row r="309" spans="1:64" ht="15" customHeight="1">
      <c r="A309" s="423"/>
      <c r="D309" s="424" t="s">
        <v>997</v>
      </c>
      <c r="E309" s="424" t="s">
        <v>654</v>
      </c>
      <c r="G309" s="425">
        <v>34.61</v>
      </c>
      <c r="N309" s="426"/>
    </row>
    <row r="310" spans="1:64" ht="15" customHeight="1">
      <c r="A310" s="401" t="s">
        <v>938</v>
      </c>
      <c r="B310" s="402" t="s">
        <v>654</v>
      </c>
      <c r="C310" s="402" t="s">
        <v>998</v>
      </c>
      <c r="D310" s="440" t="s">
        <v>999</v>
      </c>
      <c r="E310" s="440"/>
      <c r="F310" s="402" t="s">
        <v>14</v>
      </c>
      <c r="G310" s="420">
        <v>2</v>
      </c>
      <c r="H310" s="420"/>
      <c r="I310" s="420">
        <f>G310*AO310</f>
        <v>0</v>
      </c>
      <c r="J310" s="420">
        <f>G310*AP310</f>
        <v>0</v>
      </c>
      <c r="K310" s="420">
        <f>G310*H310</f>
        <v>0</v>
      </c>
      <c r="L310" s="420">
        <v>4.0999999999999999E-4</v>
      </c>
      <c r="M310" s="420">
        <f>G310*L310</f>
        <v>8.1999999999999998E-4</v>
      </c>
      <c r="N310" s="421" t="s">
        <v>1358</v>
      </c>
      <c r="Z310" s="420">
        <f>IF(AQ310="5",BJ310,0)</f>
        <v>0</v>
      </c>
      <c r="AB310" s="420">
        <f>IF(AQ310="1",BH310,0)</f>
        <v>0</v>
      </c>
      <c r="AC310" s="420">
        <f>IF(AQ310="1",BI310,0)</f>
        <v>0</v>
      </c>
      <c r="AD310" s="420">
        <f>IF(AQ310="7",BH310,0)</f>
        <v>0</v>
      </c>
      <c r="AE310" s="420">
        <f>IF(AQ310="7",BI310,0)</f>
        <v>0</v>
      </c>
      <c r="AF310" s="420">
        <f>IF(AQ310="2",BH310,0)</f>
        <v>0</v>
      </c>
      <c r="AG310" s="420">
        <f>IF(AQ310="2",BI310,0)</f>
        <v>0</v>
      </c>
      <c r="AH310" s="420">
        <f>IF(AQ310="0",BJ310,0)</f>
        <v>0</v>
      </c>
      <c r="AI310" s="408" t="s">
        <v>654</v>
      </c>
      <c r="AJ310" s="420">
        <f>IF(AN310=0,K310,0)</f>
        <v>0</v>
      </c>
      <c r="AK310" s="420">
        <f>IF(AN310=15,K310,0)</f>
        <v>0</v>
      </c>
      <c r="AL310" s="420">
        <f>IF(AN310=21,K310,0)</f>
        <v>0</v>
      </c>
      <c r="AN310" s="420">
        <v>21</v>
      </c>
      <c r="AO310" s="420">
        <f>H310*0.171815878378378</f>
        <v>0</v>
      </c>
      <c r="AP310" s="420">
        <f>H310*(1-0.171815878378378)</f>
        <v>0</v>
      </c>
      <c r="AQ310" s="422" t="s">
        <v>657</v>
      </c>
      <c r="AV310" s="420">
        <f>AW310+AX310</f>
        <v>0</v>
      </c>
      <c r="AW310" s="420">
        <f>G310*AO310</f>
        <v>0</v>
      </c>
      <c r="AX310" s="420">
        <f>G310*AP310</f>
        <v>0</v>
      </c>
      <c r="AY310" s="422" t="s">
        <v>993</v>
      </c>
      <c r="AZ310" s="422" t="s">
        <v>891</v>
      </c>
      <c r="BA310" s="408" t="s">
        <v>662</v>
      </c>
      <c r="BC310" s="420">
        <f>AW310+AX310</f>
        <v>0</v>
      </c>
      <c r="BD310" s="420">
        <f>H310/(100-BE310)*100</f>
        <v>0</v>
      </c>
      <c r="BE310" s="420">
        <v>0</v>
      </c>
      <c r="BF310" s="420">
        <f>M310</f>
        <v>8.1999999999999998E-4</v>
      </c>
      <c r="BH310" s="420">
        <f>G310*AO310</f>
        <v>0</v>
      </c>
      <c r="BI310" s="420">
        <f>G310*AP310</f>
        <v>0</v>
      </c>
      <c r="BJ310" s="420">
        <f>G310*H310</f>
        <v>0</v>
      </c>
      <c r="BK310" s="420"/>
      <c r="BL310" s="420">
        <v>89</v>
      </c>
    </row>
    <row r="311" spans="1:64" ht="15" customHeight="1">
      <c r="A311" s="423"/>
      <c r="D311" s="424" t="s">
        <v>1000</v>
      </c>
      <c r="E311" s="424" t="s">
        <v>654</v>
      </c>
      <c r="G311" s="425">
        <v>2</v>
      </c>
      <c r="N311" s="426"/>
    </row>
    <row r="312" spans="1:64" ht="15" customHeight="1">
      <c r="A312" s="401" t="s">
        <v>979</v>
      </c>
      <c r="B312" s="402" t="s">
        <v>654</v>
      </c>
      <c r="C312" s="402" t="s">
        <v>1002</v>
      </c>
      <c r="D312" s="440" t="s">
        <v>1003</v>
      </c>
      <c r="E312" s="440"/>
      <c r="F312" s="402" t="s">
        <v>14</v>
      </c>
      <c r="G312" s="420">
        <v>2</v>
      </c>
      <c r="H312" s="420"/>
      <c r="I312" s="420">
        <f>G312*AO312</f>
        <v>0</v>
      </c>
      <c r="J312" s="420">
        <f>G312*AP312</f>
        <v>0</v>
      </c>
      <c r="K312" s="420">
        <f>G312*H312</f>
        <v>0</v>
      </c>
      <c r="L312" s="420">
        <v>0</v>
      </c>
      <c r="M312" s="420">
        <f>G312*L312</f>
        <v>0</v>
      </c>
      <c r="N312" s="421" t="s">
        <v>654</v>
      </c>
      <c r="Z312" s="420">
        <f>IF(AQ312="5",BJ312,0)</f>
        <v>0</v>
      </c>
      <c r="AB312" s="420">
        <f>IF(AQ312="1",BH312,0)</f>
        <v>0</v>
      </c>
      <c r="AC312" s="420">
        <f>IF(AQ312="1",BI312,0)</f>
        <v>0</v>
      </c>
      <c r="AD312" s="420">
        <f>IF(AQ312="7",BH312,0)</f>
        <v>0</v>
      </c>
      <c r="AE312" s="420">
        <f>IF(AQ312="7",BI312,0)</f>
        <v>0</v>
      </c>
      <c r="AF312" s="420">
        <f>IF(AQ312="2",BH312,0)</f>
        <v>0</v>
      </c>
      <c r="AG312" s="420">
        <f>IF(AQ312="2",BI312,0)</f>
        <v>0</v>
      </c>
      <c r="AH312" s="420">
        <f>IF(AQ312="0",BJ312,0)</f>
        <v>0</v>
      </c>
      <c r="AI312" s="408" t="s">
        <v>654</v>
      </c>
      <c r="AJ312" s="420">
        <f>IF(AN312=0,K312,0)</f>
        <v>0</v>
      </c>
      <c r="AK312" s="420">
        <f>IF(AN312=15,K312,0)</f>
        <v>0</v>
      </c>
      <c r="AL312" s="420">
        <f>IF(AN312=21,K312,0)</f>
        <v>0</v>
      </c>
      <c r="AN312" s="420">
        <v>21</v>
      </c>
      <c r="AO312" s="420">
        <f>H312*1</f>
        <v>0</v>
      </c>
      <c r="AP312" s="420">
        <f>H312*(1-1)</f>
        <v>0</v>
      </c>
      <c r="AQ312" s="422" t="s">
        <v>657</v>
      </c>
      <c r="AV312" s="420">
        <f>AW312+AX312</f>
        <v>0</v>
      </c>
      <c r="AW312" s="420">
        <f>G312*AO312</f>
        <v>0</v>
      </c>
      <c r="AX312" s="420">
        <f>G312*AP312</f>
        <v>0</v>
      </c>
      <c r="AY312" s="422" t="s">
        <v>993</v>
      </c>
      <c r="AZ312" s="422" t="s">
        <v>891</v>
      </c>
      <c r="BA312" s="408" t="s">
        <v>662</v>
      </c>
      <c r="BC312" s="420">
        <f>AW312+AX312</f>
        <v>0</v>
      </c>
      <c r="BD312" s="420">
        <f>H312/(100-BE312)*100</f>
        <v>0</v>
      </c>
      <c r="BE312" s="420">
        <v>0</v>
      </c>
      <c r="BF312" s="420">
        <f>M312</f>
        <v>0</v>
      </c>
      <c r="BH312" s="420">
        <f>G312*AO312</f>
        <v>0</v>
      </c>
      <c r="BI312" s="420">
        <f>G312*AP312</f>
        <v>0</v>
      </c>
      <c r="BJ312" s="420">
        <f>G312*H312</f>
        <v>0</v>
      </c>
      <c r="BK312" s="420"/>
      <c r="BL312" s="420">
        <v>89</v>
      </c>
    </row>
    <row r="313" spans="1:64" ht="15" customHeight="1">
      <c r="A313" s="423"/>
      <c r="D313" s="424" t="s">
        <v>908</v>
      </c>
      <c r="E313" s="424" t="s">
        <v>654</v>
      </c>
      <c r="G313" s="425">
        <v>2</v>
      </c>
      <c r="N313" s="426"/>
    </row>
    <row r="314" spans="1:64" ht="15" customHeight="1">
      <c r="A314" s="401" t="s">
        <v>988</v>
      </c>
      <c r="B314" s="402" t="s">
        <v>654</v>
      </c>
      <c r="C314" s="402" t="s">
        <v>1004</v>
      </c>
      <c r="D314" s="440" t="s">
        <v>1005</v>
      </c>
      <c r="E314" s="440"/>
      <c r="F314" s="402" t="s">
        <v>14</v>
      </c>
      <c r="G314" s="420">
        <v>1</v>
      </c>
      <c r="H314" s="420"/>
      <c r="I314" s="420">
        <f>G314*AO314</f>
        <v>0</v>
      </c>
      <c r="J314" s="420">
        <f>G314*AP314</f>
        <v>0</v>
      </c>
      <c r="K314" s="420">
        <f>G314*H314</f>
        <v>0</v>
      </c>
      <c r="L314" s="420">
        <v>2.2000000000000001E-4</v>
      </c>
      <c r="M314" s="420">
        <f>G314*L314</f>
        <v>2.2000000000000001E-4</v>
      </c>
      <c r="N314" s="421" t="s">
        <v>1358</v>
      </c>
      <c r="Z314" s="420">
        <f>IF(AQ314="5",BJ314,0)</f>
        <v>0</v>
      </c>
      <c r="AB314" s="420">
        <f>IF(AQ314="1",BH314,0)</f>
        <v>0</v>
      </c>
      <c r="AC314" s="420">
        <f>IF(AQ314="1",BI314,0)</f>
        <v>0</v>
      </c>
      <c r="AD314" s="420">
        <f>IF(AQ314="7",BH314,0)</f>
        <v>0</v>
      </c>
      <c r="AE314" s="420">
        <f>IF(AQ314="7",BI314,0)</f>
        <v>0</v>
      </c>
      <c r="AF314" s="420">
        <f>IF(AQ314="2",BH314,0)</f>
        <v>0</v>
      </c>
      <c r="AG314" s="420">
        <f>IF(AQ314="2",BI314,0)</f>
        <v>0</v>
      </c>
      <c r="AH314" s="420">
        <f>IF(AQ314="0",BJ314,0)</f>
        <v>0</v>
      </c>
      <c r="AI314" s="408" t="s">
        <v>654</v>
      </c>
      <c r="AJ314" s="420">
        <f>IF(AN314=0,K314,0)</f>
        <v>0</v>
      </c>
      <c r="AK314" s="420">
        <f>IF(AN314=15,K314,0)</f>
        <v>0</v>
      </c>
      <c r="AL314" s="420">
        <f>IF(AN314=21,K314,0)</f>
        <v>0</v>
      </c>
      <c r="AN314" s="420">
        <v>21</v>
      </c>
      <c r="AO314" s="420">
        <f>H314*0.117775377969762</f>
        <v>0</v>
      </c>
      <c r="AP314" s="420">
        <f>H314*(1-0.117775377969762)</f>
        <v>0</v>
      </c>
      <c r="AQ314" s="422" t="s">
        <v>657</v>
      </c>
      <c r="AV314" s="420">
        <f>AW314+AX314</f>
        <v>0</v>
      </c>
      <c r="AW314" s="420">
        <f>G314*AO314</f>
        <v>0</v>
      </c>
      <c r="AX314" s="420">
        <f>G314*AP314</f>
        <v>0</v>
      </c>
      <c r="AY314" s="422" t="s">
        <v>993</v>
      </c>
      <c r="AZ314" s="422" t="s">
        <v>891</v>
      </c>
      <c r="BA314" s="408" t="s">
        <v>662</v>
      </c>
      <c r="BC314" s="420">
        <f>AW314+AX314</f>
        <v>0</v>
      </c>
      <c r="BD314" s="420">
        <f>H314/(100-BE314)*100</f>
        <v>0</v>
      </c>
      <c r="BE314" s="420">
        <v>0</v>
      </c>
      <c r="BF314" s="420">
        <f>M314</f>
        <v>2.2000000000000001E-4</v>
      </c>
      <c r="BH314" s="420">
        <f>G314*AO314</f>
        <v>0</v>
      </c>
      <c r="BI314" s="420">
        <f>G314*AP314</f>
        <v>0</v>
      </c>
      <c r="BJ314" s="420">
        <f>G314*H314</f>
        <v>0</v>
      </c>
      <c r="BK314" s="420"/>
      <c r="BL314" s="420">
        <v>89</v>
      </c>
    </row>
    <row r="315" spans="1:64" ht="15" customHeight="1">
      <c r="A315" s="423"/>
      <c r="D315" s="424" t="s">
        <v>1006</v>
      </c>
      <c r="E315" s="424" t="s">
        <v>654</v>
      </c>
      <c r="G315" s="425">
        <v>1</v>
      </c>
      <c r="N315" s="426"/>
    </row>
    <row r="316" spans="1:64" ht="15" customHeight="1">
      <c r="A316" s="401" t="s">
        <v>1012</v>
      </c>
      <c r="B316" s="402" t="s">
        <v>654</v>
      </c>
      <c r="C316" s="402" t="s">
        <v>1007</v>
      </c>
      <c r="D316" s="440" t="s">
        <v>1008</v>
      </c>
      <c r="E316" s="440"/>
      <c r="F316" s="402" t="s">
        <v>14</v>
      </c>
      <c r="G316" s="420">
        <v>1</v>
      </c>
      <c r="H316" s="420"/>
      <c r="I316" s="420">
        <f>G316*AO316</f>
        <v>0</v>
      </c>
      <c r="J316" s="420">
        <f>G316*AP316</f>
        <v>0</v>
      </c>
      <c r="K316" s="420">
        <f>G316*H316</f>
        <v>0</v>
      </c>
      <c r="L316" s="420">
        <v>0</v>
      </c>
      <c r="M316" s="420">
        <f>G316*L316</f>
        <v>0</v>
      </c>
      <c r="N316" s="421" t="s">
        <v>654</v>
      </c>
      <c r="Z316" s="420">
        <f>IF(AQ316="5",BJ316,0)</f>
        <v>0</v>
      </c>
      <c r="AB316" s="420">
        <f>IF(AQ316="1",BH316,0)</f>
        <v>0</v>
      </c>
      <c r="AC316" s="420">
        <f>IF(AQ316="1",BI316,0)</f>
        <v>0</v>
      </c>
      <c r="AD316" s="420">
        <f>IF(AQ316="7",BH316,0)</f>
        <v>0</v>
      </c>
      <c r="AE316" s="420">
        <f>IF(AQ316="7",BI316,0)</f>
        <v>0</v>
      </c>
      <c r="AF316" s="420">
        <f>IF(AQ316="2",BH316,0)</f>
        <v>0</v>
      </c>
      <c r="AG316" s="420">
        <f>IF(AQ316="2",BI316,0)</f>
        <v>0</v>
      </c>
      <c r="AH316" s="420">
        <f>IF(AQ316="0",BJ316,0)</f>
        <v>0</v>
      </c>
      <c r="AI316" s="408" t="s">
        <v>654</v>
      </c>
      <c r="AJ316" s="420">
        <f>IF(AN316=0,K316,0)</f>
        <v>0</v>
      </c>
      <c r="AK316" s="420">
        <f>IF(AN316=15,K316,0)</f>
        <v>0</v>
      </c>
      <c r="AL316" s="420">
        <f>IF(AN316=21,K316,0)</f>
        <v>0</v>
      </c>
      <c r="AN316" s="420">
        <v>21</v>
      </c>
      <c r="AO316" s="420">
        <f>H316*1</f>
        <v>0</v>
      </c>
      <c r="AP316" s="420">
        <f>H316*(1-1)</f>
        <v>0</v>
      </c>
      <c r="AQ316" s="422" t="s">
        <v>657</v>
      </c>
      <c r="AV316" s="420">
        <f>AW316+AX316</f>
        <v>0</v>
      </c>
      <c r="AW316" s="420">
        <f>G316*AO316</f>
        <v>0</v>
      </c>
      <c r="AX316" s="420">
        <f>G316*AP316</f>
        <v>0</v>
      </c>
      <c r="AY316" s="422" t="s">
        <v>993</v>
      </c>
      <c r="AZ316" s="422" t="s">
        <v>891</v>
      </c>
      <c r="BA316" s="408" t="s">
        <v>662</v>
      </c>
      <c r="BC316" s="420">
        <f>AW316+AX316</f>
        <v>0</v>
      </c>
      <c r="BD316" s="420">
        <f>H316/(100-BE316)*100</f>
        <v>0</v>
      </c>
      <c r="BE316" s="420">
        <v>0</v>
      </c>
      <c r="BF316" s="420">
        <f>M316</f>
        <v>0</v>
      </c>
      <c r="BH316" s="420">
        <f>G316*AO316</f>
        <v>0</v>
      </c>
      <c r="BI316" s="420">
        <f>G316*AP316</f>
        <v>0</v>
      </c>
      <c r="BJ316" s="420">
        <f>G316*H316</f>
        <v>0</v>
      </c>
      <c r="BK316" s="420"/>
      <c r="BL316" s="420">
        <v>89</v>
      </c>
    </row>
    <row r="317" spans="1:64" ht="15" customHeight="1">
      <c r="A317" s="423"/>
      <c r="D317" s="424" t="s">
        <v>925</v>
      </c>
      <c r="E317" s="424" t="s">
        <v>654</v>
      </c>
      <c r="G317" s="425">
        <v>1</v>
      </c>
      <c r="N317" s="426"/>
    </row>
    <row r="318" spans="1:64" ht="15" customHeight="1">
      <c r="A318" s="401" t="s">
        <v>1017</v>
      </c>
      <c r="B318" s="402" t="s">
        <v>654</v>
      </c>
      <c r="C318" s="402" t="s">
        <v>1009</v>
      </c>
      <c r="D318" s="440" t="s">
        <v>1010</v>
      </c>
      <c r="E318" s="440"/>
      <c r="F318" s="402" t="s">
        <v>14</v>
      </c>
      <c r="G318" s="420">
        <v>1</v>
      </c>
      <c r="H318" s="420"/>
      <c r="I318" s="420">
        <f>G318*AO318</f>
        <v>0</v>
      </c>
      <c r="J318" s="420">
        <f>G318*AP318</f>
        <v>0</v>
      </c>
      <c r="K318" s="420">
        <f>G318*H318</f>
        <v>0</v>
      </c>
      <c r="L318" s="420">
        <v>4.0999999999999999E-4</v>
      </c>
      <c r="M318" s="420">
        <f>G318*L318</f>
        <v>4.0999999999999999E-4</v>
      </c>
      <c r="N318" s="421" t="s">
        <v>1358</v>
      </c>
      <c r="Z318" s="420">
        <f>IF(AQ318="5",BJ318,0)</f>
        <v>0</v>
      </c>
      <c r="AB318" s="420">
        <f>IF(AQ318="1",BH318,0)</f>
        <v>0</v>
      </c>
      <c r="AC318" s="420">
        <f>IF(AQ318="1",BI318,0)</f>
        <v>0</v>
      </c>
      <c r="AD318" s="420">
        <f>IF(AQ318="7",BH318,0)</f>
        <v>0</v>
      </c>
      <c r="AE318" s="420">
        <f>IF(AQ318="7",BI318,0)</f>
        <v>0</v>
      </c>
      <c r="AF318" s="420">
        <f>IF(AQ318="2",BH318,0)</f>
        <v>0</v>
      </c>
      <c r="AG318" s="420">
        <f>IF(AQ318="2",BI318,0)</f>
        <v>0</v>
      </c>
      <c r="AH318" s="420">
        <f>IF(AQ318="0",BJ318,0)</f>
        <v>0</v>
      </c>
      <c r="AI318" s="408" t="s">
        <v>654</v>
      </c>
      <c r="AJ318" s="420">
        <f>IF(AN318=0,K318,0)</f>
        <v>0</v>
      </c>
      <c r="AK318" s="420">
        <f>IF(AN318=15,K318,0)</f>
        <v>0</v>
      </c>
      <c r="AL318" s="420">
        <f>IF(AN318=21,K318,0)</f>
        <v>0</v>
      </c>
      <c r="AN318" s="420">
        <v>21</v>
      </c>
      <c r="AO318" s="420">
        <f>H318*0.280976782088645</f>
        <v>0</v>
      </c>
      <c r="AP318" s="420">
        <f>H318*(1-0.280976782088645)</f>
        <v>0</v>
      </c>
      <c r="AQ318" s="422" t="s">
        <v>657</v>
      </c>
      <c r="AV318" s="420">
        <f>AW318+AX318</f>
        <v>0</v>
      </c>
      <c r="AW318" s="420">
        <f>G318*AO318</f>
        <v>0</v>
      </c>
      <c r="AX318" s="420">
        <f>G318*AP318</f>
        <v>0</v>
      </c>
      <c r="AY318" s="422" t="s">
        <v>993</v>
      </c>
      <c r="AZ318" s="422" t="s">
        <v>891</v>
      </c>
      <c r="BA318" s="408" t="s">
        <v>662</v>
      </c>
      <c r="BC318" s="420">
        <f>AW318+AX318</f>
        <v>0</v>
      </c>
      <c r="BD318" s="420">
        <f>H318/(100-BE318)*100</f>
        <v>0</v>
      </c>
      <c r="BE318" s="420">
        <v>0</v>
      </c>
      <c r="BF318" s="420">
        <f>M318</f>
        <v>4.0999999999999999E-4</v>
      </c>
      <c r="BH318" s="420">
        <f>G318*AO318</f>
        <v>0</v>
      </c>
      <c r="BI318" s="420">
        <f>G318*AP318</f>
        <v>0</v>
      </c>
      <c r="BJ318" s="420">
        <f>G318*H318</f>
        <v>0</v>
      </c>
      <c r="BK318" s="420"/>
      <c r="BL318" s="420">
        <v>89</v>
      </c>
    </row>
    <row r="319" spans="1:64" ht="15" customHeight="1">
      <c r="A319" s="423"/>
      <c r="D319" s="424" t="s">
        <v>1011</v>
      </c>
      <c r="E319" s="424" t="s">
        <v>654</v>
      </c>
      <c r="G319" s="425">
        <v>1</v>
      </c>
      <c r="N319" s="426"/>
    </row>
    <row r="320" spans="1:64" ht="15" customHeight="1">
      <c r="A320" s="401" t="s">
        <v>1022</v>
      </c>
      <c r="B320" s="402" t="s">
        <v>654</v>
      </c>
      <c r="C320" s="402" t="s">
        <v>1013</v>
      </c>
      <c r="D320" s="440" t="s">
        <v>1014</v>
      </c>
      <c r="E320" s="440"/>
      <c r="F320" s="402" t="s">
        <v>14</v>
      </c>
      <c r="G320" s="420">
        <v>1</v>
      </c>
      <c r="H320" s="420"/>
      <c r="I320" s="420">
        <f>G320*AO320</f>
        <v>0</v>
      </c>
      <c r="J320" s="420">
        <f>G320*AP320</f>
        <v>0</v>
      </c>
      <c r="K320" s="420">
        <f>G320*H320</f>
        <v>0</v>
      </c>
      <c r="L320" s="420">
        <v>0</v>
      </c>
      <c r="M320" s="420">
        <f>G320*L320</f>
        <v>0</v>
      </c>
      <c r="N320" s="421" t="s">
        <v>654</v>
      </c>
      <c r="Z320" s="420">
        <f>IF(AQ320="5",BJ320,0)</f>
        <v>0</v>
      </c>
      <c r="AB320" s="420">
        <f>IF(AQ320="1",BH320,0)</f>
        <v>0</v>
      </c>
      <c r="AC320" s="420">
        <f>IF(AQ320="1",BI320,0)</f>
        <v>0</v>
      </c>
      <c r="AD320" s="420">
        <f>IF(AQ320="7",BH320,0)</f>
        <v>0</v>
      </c>
      <c r="AE320" s="420">
        <f>IF(AQ320="7",BI320,0)</f>
        <v>0</v>
      </c>
      <c r="AF320" s="420">
        <f>IF(AQ320="2",BH320,0)</f>
        <v>0</v>
      </c>
      <c r="AG320" s="420">
        <f>IF(AQ320="2",BI320,0)</f>
        <v>0</v>
      </c>
      <c r="AH320" s="420">
        <f>IF(AQ320="0",BJ320,0)</f>
        <v>0</v>
      </c>
      <c r="AI320" s="408" t="s">
        <v>654</v>
      </c>
      <c r="AJ320" s="420">
        <f>IF(AN320=0,K320,0)</f>
        <v>0</v>
      </c>
      <c r="AK320" s="420">
        <f>IF(AN320=15,K320,0)</f>
        <v>0</v>
      </c>
      <c r="AL320" s="420">
        <f>IF(AN320=21,K320,0)</f>
        <v>0</v>
      </c>
      <c r="AN320" s="420">
        <v>21</v>
      </c>
      <c r="AO320" s="420">
        <f>H320*1</f>
        <v>0</v>
      </c>
      <c r="AP320" s="420">
        <f>H320*(1-1)</f>
        <v>0</v>
      </c>
      <c r="AQ320" s="422" t="s">
        <v>657</v>
      </c>
      <c r="AV320" s="420">
        <f>AW320+AX320</f>
        <v>0</v>
      </c>
      <c r="AW320" s="420">
        <f>G320*AO320</f>
        <v>0</v>
      </c>
      <c r="AX320" s="420">
        <f>G320*AP320</f>
        <v>0</v>
      </c>
      <c r="AY320" s="422" t="s">
        <v>993</v>
      </c>
      <c r="AZ320" s="422" t="s">
        <v>891</v>
      </c>
      <c r="BA320" s="408" t="s">
        <v>662</v>
      </c>
      <c r="BC320" s="420">
        <f>AW320+AX320</f>
        <v>0</v>
      </c>
      <c r="BD320" s="420">
        <f>H320/(100-BE320)*100</f>
        <v>0</v>
      </c>
      <c r="BE320" s="420">
        <v>0</v>
      </c>
      <c r="BF320" s="420">
        <f>M320</f>
        <v>0</v>
      </c>
      <c r="BH320" s="420">
        <f>G320*AO320</f>
        <v>0</v>
      </c>
      <c r="BI320" s="420">
        <f>G320*AP320</f>
        <v>0</v>
      </c>
      <c r="BJ320" s="420">
        <f>G320*H320</f>
        <v>0</v>
      </c>
      <c r="BK320" s="420"/>
      <c r="BL320" s="420">
        <v>89</v>
      </c>
    </row>
    <row r="321" spans="1:64" ht="15" customHeight="1">
      <c r="A321" s="423"/>
      <c r="D321" s="424" t="s">
        <v>925</v>
      </c>
      <c r="E321" s="424" t="s">
        <v>654</v>
      </c>
      <c r="G321" s="425">
        <v>1</v>
      </c>
      <c r="N321" s="426"/>
    </row>
    <row r="322" spans="1:64" ht="15" customHeight="1">
      <c r="A322" s="416" t="s">
        <v>654</v>
      </c>
      <c r="B322" s="417" t="s">
        <v>654</v>
      </c>
      <c r="C322" s="417" t="s">
        <v>1306</v>
      </c>
      <c r="D322" s="455" t="s">
        <v>1463</v>
      </c>
      <c r="E322" s="455"/>
      <c r="F322" s="418" t="s">
        <v>608</v>
      </c>
      <c r="G322" s="418" t="s">
        <v>608</v>
      </c>
      <c r="H322" s="418"/>
      <c r="I322" s="400">
        <f>SUM(I323:I323)</f>
        <v>0</v>
      </c>
      <c r="J322" s="400">
        <f>SUM(J323:J323)</f>
        <v>0</v>
      </c>
      <c r="K322" s="400">
        <f>SUM(K323:K323)</f>
        <v>0</v>
      </c>
      <c r="L322" s="408" t="s">
        <v>654</v>
      </c>
      <c r="M322" s="400">
        <f>SUM(M323:M323)</f>
        <v>0</v>
      </c>
      <c r="N322" s="419" t="s">
        <v>654</v>
      </c>
      <c r="AI322" s="408" t="s">
        <v>654</v>
      </c>
      <c r="AS322" s="400">
        <f>SUM(AJ323:AJ323)</f>
        <v>0</v>
      </c>
      <c r="AT322" s="400">
        <f>SUM(AK323:AK323)</f>
        <v>0</v>
      </c>
      <c r="AU322" s="400">
        <f>SUM(AL323:AL323)</f>
        <v>0</v>
      </c>
    </row>
    <row r="323" spans="1:64" ht="15" customHeight="1">
      <c r="A323" s="401" t="s">
        <v>1025</v>
      </c>
      <c r="B323" s="402" t="s">
        <v>654</v>
      </c>
      <c r="C323" s="402" t="s">
        <v>1464</v>
      </c>
      <c r="D323" s="440" t="s">
        <v>1463</v>
      </c>
      <c r="E323" s="440"/>
      <c r="F323" s="402" t="s">
        <v>14</v>
      </c>
      <c r="G323" s="420">
        <v>3</v>
      </c>
      <c r="H323" s="420"/>
      <c r="I323" s="420">
        <f>G323*AO323</f>
        <v>0</v>
      </c>
      <c r="J323" s="420">
        <f>G323*AP323</f>
        <v>0</v>
      </c>
      <c r="K323" s="420">
        <f>G323*H323</f>
        <v>0</v>
      </c>
      <c r="L323" s="420">
        <v>0</v>
      </c>
      <c r="M323" s="420">
        <f>G323*L323</f>
        <v>0</v>
      </c>
      <c r="N323" s="421" t="s">
        <v>654</v>
      </c>
      <c r="Z323" s="420">
        <f>IF(AQ323="5",BJ323,0)</f>
        <v>0</v>
      </c>
      <c r="AB323" s="420">
        <f>IF(AQ323="1",BH323,0)</f>
        <v>0</v>
      </c>
      <c r="AC323" s="420">
        <f>IF(AQ323="1",BI323,0)</f>
        <v>0</v>
      </c>
      <c r="AD323" s="420">
        <f>IF(AQ323="7",BH323,0)</f>
        <v>0</v>
      </c>
      <c r="AE323" s="420">
        <f>IF(AQ323="7",BI323,0)</f>
        <v>0</v>
      </c>
      <c r="AF323" s="420">
        <f>IF(AQ323="2",BH323,0)</f>
        <v>0</v>
      </c>
      <c r="AG323" s="420">
        <f>IF(AQ323="2",BI323,0)</f>
        <v>0</v>
      </c>
      <c r="AH323" s="420">
        <f>IF(AQ323="0",BJ323,0)</f>
        <v>0</v>
      </c>
      <c r="AI323" s="408" t="s">
        <v>654</v>
      </c>
      <c r="AJ323" s="420">
        <f>IF(AN323=0,K323,0)</f>
        <v>0</v>
      </c>
      <c r="AK323" s="420">
        <f>IF(AN323=15,K323,0)</f>
        <v>0</v>
      </c>
      <c r="AL323" s="420">
        <f>IF(AN323=21,K323,0)</f>
        <v>0</v>
      </c>
      <c r="AN323" s="420">
        <v>21</v>
      </c>
      <c r="AO323" s="420">
        <f>H323*0.14286</f>
        <v>0</v>
      </c>
      <c r="AP323" s="420">
        <f>H323*(1-0.14286)</f>
        <v>0</v>
      </c>
      <c r="AQ323" s="422" t="s">
        <v>657</v>
      </c>
      <c r="AV323" s="420">
        <f>AW323+AX323</f>
        <v>0</v>
      </c>
      <c r="AW323" s="420">
        <f>G323*AO323</f>
        <v>0</v>
      </c>
      <c r="AX323" s="420">
        <f>G323*AP323</f>
        <v>0</v>
      </c>
      <c r="AY323" s="422" t="s">
        <v>1310</v>
      </c>
      <c r="AZ323" s="422" t="s">
        <v>891</v>
      </c>
      <c r="BA323" s="408" t="s">
        <v>662</v>
      </c>
      <c r="BC323" s="420">
        <f>AW323+AX323</f>
        <v>0</v>
      </c>
      <c r="BD323" s="420">
        <f>H323/(100-BE323)*100</f>
        <v>0</v>
      </c>
      <c r="BE323" s="420">
        <v>0</v>
      </c>
      <c r="BF323" s="420">
        <f>M323</f>
        <v>0</v>
      </c>
      <c r="BH323" s="420">
        <f>G323*AO323</f>
        <v>0</v>
      </c>
      <c r="BI323" s="420">
        <f>G323*AP323</f>
        <v>0</v>
      </c>
      <c r="BJ323" s="420">
        <f>G323*H323</f>
        <v>0</v>
      </c>
      <c r="BK323" s="420"/>
      <c r="BL323" s="420">
        <v>891</v>
      </c>
    </row>
    <row r="324" spans="1:64" ht="15" customHeight="1">
      <c r="A324" s="423"/>
      <c r="D324" s="424" t="s">
        <v>1465</v>
      </c>
      <c r="E324" s="424" t="s">
        <v>654</v>
      </c>
      <c r="G324" s="425">
        <v>3.0000000000000004</v>
      </c>
      <c r="N324" s="426"/>
    </row>
    <row r="325" spans="1:64" ht="15" customHeight="1">
      <c r="A325" s="416" t="s">
        <v>654</v>
      </c>
      <c r="B325" s="417" t="s">
        <v>654</v>
      </c>
      <c r="C325" s="417" t="s">
        <v>1015</v>
      </c>
      <c r="D325" s="455" t="s">
        <v>1016</v>
      </c>
      <c r="E325" s="455"/>
      <c r="F325" s="418" t="s">
        <v>608</v>
      </c>
      <c r="G325" s="418" t="s">
        <v>608</v>
      </c>
      <c r="H325" s="418"/>
      <c r="I325" s="400">
        <f>SUM(I326:I326)</f>
        <v>0</v>
      </c>
      <c r="J325" s="400">
        <f>SUM(J326:J326)</f>
        <v>0</v>
      </c>
      <c r="K325" s="400">
        <f>SUM(K326:K326)</f>
        <v>0</v>
      </c>
      <c r="L325" s="408" t="s">
        <v>654</v>
      </c>
      <c r="M325" s="400">
        <f>SUM(M326:M326)</f>
        <v>12</v>
      </c>
      <c r="N325" s="419" t="s">
        <v>654</v>
      </c>
      <c r="AI325" s="408" t="s">
        <v>654</v>
      </c>
      <c r="AS325" s="400">
        <f>SUM(AJ326:AJ326)</f>
        <v>0</v>
      </c>
      <c r="AT325" s="400">
        <f>SUM(AK326:AK326)</f>
        <v>0</v>
      </c>
      <c r="AU325" s="400">
        <f>SUM(AL326:AL326)</f>
        <v>0</v>
      </c>
    </row>
    <row r="326" spans="1:64" ht="15" customHeight="1">
      <c r="A326" s="401" t="s">
        <v>1027</v>
      </c>
      <c r="B326" s="402" t="s">
        <v>654</v>
      </c>
      <c r="C326" s="402" t="s">
        <v>1018</v>
      </c>
      <c r="D326" s="440" t="s">
        <v>1019</v>
      </c>
      <c r="E326" s="440"/>
      <c r="F326" s="402" t="s">
        <v>14</v>
      </c>
      <c r="G326" s="420">
        <v>1</v>
      </c>
      <c r="H326" s="420"/>
      <c r="I326" s="420">
        <f>G326*AO326</f>
        <v>0</v>
      </c>
      <c r="J326" s="420">
        <f>G326*AP326</f>
        <v>0</v>
      </c>
      <c r="K326" s="420">
        <f>G326*H326</f>
        <v>0</v>
      </c>
      <c r="L326" s="420">
        <v>12</v>
      </c>
      <c r="M326" s="420">
        <f>G326*L326</f>
        <v>12</v>
      </c>
      <c r="N326" s="421"/>
      <c r="Z326" s="420">
        <f>IF(AQ326="5",BJ326,0)</f>
        <v>0</v>
      </c>
      <c r="AB326" s="420">
        <f>IF(AQ326="1",BH326,0)</f>
        <v>0</v>
      </c>
      <c r="AC326" s="420">
        <f>IF(AQ326="1",BI326,0)</f>
        <v>0</v>
      </c>
      <c r="AD326" s="420">
        <f>IF(AQ326="7",BH326,0)</f>
        <v>0</v>
      </c>
      <c r="AE326" s="420">
        <f>IF(AQ326="7",BI326,0)</f>
        <v>0</v>
      </c>
      <c r="AF326" s="420">
        <f>IF(AQ326="2",BH326,0)</f>
        <v>0</v>
      </c>
      <c r="AG326" s="420">
        <f>IF(AQ326="2",BI326,0)</f>
        <v>0</v>
      </c>
      <c r="AH326" s="420">
        <f>IF(AQ326="0",BJ326,0)</f>
        <v>0</v>
      </c>
      <c r="AI326" s="408" t="s">
        <v>654</v>
      </c>
      <c r="AJ326" s="420">
        <f>IF(AN326=0,K326,0)</f>
        <v>0</v>
      </c>
      <c r="AK326" s="420">
        <f>IF(AN326=15,K326,0)</f>
        <v>0</v>
      </c>
      <c r="AL326" s="420">
        <f>IF(AN326=21,K326,0)</f>
        <v>0</v>
      </c>
      <c r="AN326" s="420">
        <v>21</v>
      </c>
      <c r="AO326" s="420">
        <f>H326*0.52</f>
        <v>0</v>
      </c>
      <c r="AP326" s="420">
        <f>H326*(1-0.52)</f>
        <v>0</v>
      </c>
      <c r="AQ326" s="422" t="s">
        <v>657</v>
      </c>
      <c r="AV326" s="420">
        <f>AW326+AX326</f>
        <v>0</v>
      </c>
      <c r="AW326" s="420">
        <f>G326*AO326</f>
        <v>0</v>
      </c>
      <c r="AX326" s="420">
        <f>G326*AP326</f>
        <v>0</v>
      </c>
      <c r="AY326" s="422" t="s">
        <v>1020</v>
      </c>
      <c r="AZ326" s="422" t="s">
        <v>891</v>
      </c>
      <c r="BA326" s="408" t="s">
        <v>662</v>
      </c>
      <c r="BC326" s="420">
        <f>AW326+AX326</f>
        <v>0</v>
      </c>
      <c r="BD326" s="420">
        <f>H326/(100-BE326)*100</f>
        <v>0</v>
      </c>
      <c r="BE326" s="420">
        <v>0</v>
      </c>
      <c r="BF326" s="420">
        <f>M326</f>
        <v>12</v>
      </c>
      <c r="BH326" s="420">
        <f>G326*AO326</f>
        <v>0</v>
      </c>
      <c r="BI326" s="420">
        <f>G326*AP326</f>
        <v>0</v>
      </c>
      <c r="BJ326" s="420">
        <f>G326*H326</f>
        <v>0</v>
      </c>
      <c r="BK326" s="420"/>
      <c r="BL326" s="420">
        <v>894</v>
      </c>
    </row>
    <row r="327" spans="1:64" ht="15" customHeight="1">
      <c r="A327" s="423"/>
      <c r="D327" s="424" t="s">
        <v>1021</v>
      </c>
      <c r="E327" s="424" t="s">
        <v>654</v>
      </c>
      <c r="G327" s="425">
        <v>1</v>
      </c>
      <c r="N327" s="426"/>
    </row>
    <row r="328" spans="1:64" ht="15" customHeight="1">
      <c r="A328" s="416" t="s">
        <v>654</v>
      </c>
      <c r="B328" s="417" t="s">
        <v>654</v>
      </c>
      <c r="C328" s="417" t="s">
        <v>1017</v>
      </c>
      <c r="D328" s="455" t="s">
        <v>1024</v>
      </c>
      <c r="E328" s="455"/>
      <c r="F328" s="418" t="s">
        <v>608</v>
      </c>
      <c r="G328" s="418" t="s">
        <v>608</v>
      </c>
      <c r="H328" s="418"/>
      <c r="I328" s="400">
        <f>SUM(I329:I336)</f>
        <v>0</v>
      </c>
      <c r="J328" s="400">
        <f>SUM(J329:J336)</f>
        <v>0</v>
      </c>
      <c r="K328" s="400">
        <f>SUM(K329:K336)</f>
        <v>0</v>
      </c>
      <c r="L328" s="408" t="s">
        <v>654</v>
      </c>
      <c r="M328" s="400">
        <f>SUM(M329:M336)</f>
        <v>0</v>
      </c>
      <c r="N328" s="419" t="s">
        <v>654</v>
      </c>
      <c r="AI328" s="408" t="s">
        <v>654</v>
      </c>
      <c r="AS328" s="400">
        <f>SUM(AJ329:AJ336)</f>
        <v>0</v>
      </c>
      <c r="AT328" s="400">
        <f>SUM(AK329:AK336)</f>
        <v>0</v>
      </c>
      <c r="AU328" s="400">
        <f>SUM(AL329:AL336)</f>
        <v>0</v>
      </c>
    </row>
    <row r="329" spans="1:64" ht="15" customHeight="1">
      <c r="A329" s="401" t="s">
        <v>1030</v>
      </c>
      <c r="B329" s="402" t="s">
        <v>654</v>
      </c>
      <c r="C329" s="402" t="s">
        <v>1026</v>
      </c>
      <c r="D329" s="440" t="s">
        <v>1466</v>
      </c>
      <c r="E329" s="440"/>
      <c r="F329" s="402" t="s">
        <v>7</v>
      </c>
      <c r="G329" s="420">
        <v>590</v>
      </c>
      <c r="H329" s="420"/>
      <c r="I329" s="420">
        <f>G329*AO329</f>
        <v>0</v>
      </c>
      <c r="J329" s="420">
        <f>G329*AP329</f>
        <v>0</v>
      </c>
      <c r="K329" s="420">
        <f>G329*H329</f>
        <v>0</v>
      </c>
      <c r="L329" s="420">
        <v>0</v>
      </c>
      <c r="M329" s="420">
        <f>G329*L329</f>
        <v>0</v>
      </c>
      <c r="N329" s="421" t="s">
        <v>1358</v>
      </c>
      <c r="Z329" s="420">
        <f>IF(AQ329="5",BJ329,0)</f>
        <v>0</v>
      </c>
      <c r="AB329" s="420">
        <f>IF(AQ329="1",BH329,0)</f>
        <v>0</v>
      </c>
      <c r="AC329" s="420">
        <f>IF(AQ329="1",BI329,0)</f>
        <v>0</v>
      </c>
      <c r="AD329" s="420">
        <f>IF(AQ329="7",BH329,0)</f>
        <v>0</v>
      </c>
      <c r="AE329" s="420">
        <f>IF(AQ329="7",BI329,0)</f>
        <v>0</v>
      </c>
      <c r="AF329" s="420">
        <f>IF(AQ329="2",BH329,0)</f>
        <v>0</v>
      </c>
      <c r="AG329" s="420">
        <f>IF(AQ329="2",BI329,0)</f>
        <v>0</v>
      </c>
      <c r="AH329" s="420">
        <f>IF(AQ329="0",BJ329,0)</f>
        <v>0</v>
      </c>
      <c r="AI329" s="408" t="s">
        <v>654</v>
      </c>
      <c r="AJ329" s="420">
        <f>IF(AN329=0,K329,0)</f>
        <v>0</v>
      </c>
      <c r="AK329" s="420">
        <f>IF(AN329=15,K329,0)</f>
        <v>0</v>
      </c>
      <c r="AL329" s="420">
        <f>IF(AN329=21,K329,0)</f>
        <v>0</v>
      </c>
      <c r="AN329" s="420">
        <v>21</v>
      </c>
      <c r="AO329" s="420">
        <f>H329*0.563818166540627</f>
        <v>0</v>
      </c>
      <c r="AP329" s="420">
        <f>H329*(1-0.563818166540627)</f>
        <v>0</v>
      </c>
      <c r="AQ329" s="422" t="s">
        <v>657</v>
      </c>
      <c r="AV329" s="420">
        <f>AW329+AX329</f>
        <v>0</v>
      </c>
      <c r="AW329" s="420">
        <f>G329*AO329</f>
        <v>0</v>
      </c>
      <c r="AX329" s="420">
        <f>G329*AP329</f>
        <v>0</v>
      </c>
      <c r="AY329" s="422" t="s">
        <v>1467</v>
      </c>
      <c r="AZ329" s="422" t="s">
        <v>1023</v>
      </c>
      <c r="BA329" s="408" t="s">
        <v>662</v>
      </c>
      <c r="BC329" s="420">
        <f>AW329+AX329</f>
        <v>0</v>
      </c>
      <c r="BD329" s="420">
        <f>H329/(100-BE329)*100</f>
        <v>0</v>
      </c>
      <c r="BE329" s="420">
        <v>0</v>
      </c>
      <c r="BF329" s="420">
        <f>M329</f>
        <v>0</v>
      </c>
      <c r="BH329" s="420">
        <f>G329*AO329</f>
        <v>0</v>
      </c>
      <c r="BI329" s="420">
        <f>G329*AP329</f>
        <v>0</v>
      </c>
      <c r="BJ329" s="420">
        <f>G329*H329</f>
        <v>0</v>
      </c>
      <c r="BK329" s="420"/>
      <c r="BL329" s="420">
        <v>91</v>
      </c>
    </row>
    <row r="330" spans="1:64" ht="15" customHeight="1">
      <c r="A330" s="423"/>
      <c r="D330" s="424" t="s">
        <v>1377</v>
      </c>
      <c r="E330" s="424" t="s">
        <v>654</v>
      </c>
      <c r="G330" s="425">
        <v>12.000000000000002</v>
      </c>
      <c r="N330" s="426"/>
    </row>
    <row r="331" spans="1:64" ht="15" customHeight="1">
      <c r="A331" s="423"/>
      <c r="D331" s="424" t="s">
        <v>677</v>
      </c>
      <c r="E331" s="424" t="s">
        <v>654</v>
      </c>
      <c r="G331" s="425">
        <v>0</v>
      </c>
      <c r="N331" s="426"/>
    </row>
    <row r="332" spans="1:64" ht="15" customHeight="1">
      <c r="A332" s="423"/>
      <c r="D332" s="424" t="s">
        <v>681</v>
      </c>
      <c r="E332" s="424" t="s">
        <v>654</v>
      </c>
      <c r="G332" s="425">
        <v>0</v>
      </c>
      <c r="N332" s="426"/>
    </row>
    <row r="333" spans="1:64" ht="15" customHeight="1">
      <c r="A333" s="423"/>
      <c r="D333" s="424" t="s">
        <v>1468</v>
      </c>
      <c r="E333" s="424" t="s">
        <v>654</v>
      </c>
      <c r="G333" s="425">
        <v>578</v>
      </c>
      <c r="N333" s="426"/>
    </row>
    <row r="334" spans="1:64" ht="15" customHeight="1">
      <c r="A334" s="423"/>
      <c r="D334" s="424" t="s">
        <v>1374</v>
      </c>
      <c r="E334" s="424" t="s">
        <v>654</v>
      </c>
      <c r="G334" s="425">
        <v>0</v>
      </c>
      <c r="N334" s="426"/>
    </row>
    <row r="335" spans="1:64" ht="15" customHeight="1">
      <c r="A335" s="423"/>
      <c r="D335" s="424" t="s">
        <v>679</v>
      </c>
      <c r="E335" s="424" t="s">
        <v>654</v>
      </c>
      <c r="G335" s="425">
        <v>0</v>
      </c>
      <c r="N335" s="426"/>
    </row>
    <row r="336" spans="1:64" ht="15" customHeight="1">
      <c r="A336" s="401" t="s">
        <v>1033</v>
      </c>
      <c r="B336" s="402" t="s">
        <v>654</v>
      </c>
      <c r="C336" s="402" t="s">
        <v>1028</v>
      </c>
      <c r="D336" s="440" t="s">
        <v>1029</v>
      </c>
      <c r="E336" s="440"/>
      <c r="F336" s="402" t="s">
        <v>7</v>
      </c>
      <c r="G336" s="420">
        <v>590</v>
      </c>
      <c r="H336" s="420"/>
      <c r="I336" s="420">
        <f>G336*AO336</f>
        <v>0</v>
      </c>
      <c r="J336" s="420">
        <f>G336*AP336</f>
        <v>0</v>
      </c>
      <c r="K336" s="420">
        <f>G336*H336</f>
        <v>0</v>
      </c>
      <c r="L336" s="420">
        <v>0</v>
      </c>
      <c r="M336" s="420">
        <f>G336*L336</f>
        <v>0</v>
      </c>
      <c r="N336" s="421" t="s">
        <v>1358</v>
      </c>
      <c r="Z336" s="420">
        <f>IF(AQ336="5",BJ336,0)</f>
        <v>0</v>
      </c>
      <c r="AB336" s="420">
        <f>IF(AQ336="1",BH336,0)</f>
        <v>0</v>
      </c>
      <c r="AC336" s="420">
        <f>IF(AQ336="1",BI336,0)</f>
        <v>0</v>
      </c>
      <c r="AD336" s="420">
        <f>IF(AQ336="7",BH336,0)</f>
        <v>0</v>
      </c>
      <c r="AE336" s="420">
        <f>IF(AQ336="7",BI336,0)</f>
        <v>0</v>
      </c>
      <c r="AF336" s="420">
        <f>IF(AQ336="2",BH336,0)</f>
        <v>0</v>
      </c>
      <c r="AG336" s="420">
        <f>IF(AQ336="2",BI336,0)</f>
        <v>0</v>
      </c>
      <c r="AH336" s="420">
        <f>IF(AQ336="0",BJ336,0)</f>
        <v>0</v>
      </c>
      <c r="AI336" s="408" t="s">
        <v>654</v>
      </c>
      <c r="AJ336" s="420">
        <f>IF(AN336=0,K336,0)</f>
        <v>0</v>
      </c>
      <c r="AK336" s="420">
        <f>IF(AN336=15,K336,0)</f>
        <v>0</v>
      </c>
      <c r="AL336" s="420">
        <f>IF(AN336=21,K336,0)</f>
        <v>0</v>
      </c>
      <c r="AN336" s="420">
        <v>21</v>
      </c>
      <c r="AO336" s="420">
        <f>H336*0</f>
        <v>0</v>
      </c>
      <c r="AP336" s="420">
        <f>H336*(1-0)</f>
        <v>0</v>
      </c>
      <c r="AQ336" s="422" t="s">
        <v>657</v>
      </c>
      <c r="AV336" s="420">
        <f>AW336+AX336</f>
        <v>0</v>
      </c>
      <c r="AW336" s="420">
        <f>G336*AO336</f>
        <v>0</v>
      </c>
      <c r="AX336" s="420">
        <f>G336*AP336</f>
        <v>0</v>
      </c>
      <c r="AY336" s="422" t="s">
        <v>1467</v>
      </c>
      <c r="AZ336" s="422" t="s">
        <v>1023</v>
      </c>
      <c r="BA336" s="408" t="s">
        <v>662</v>
      </c>
      <c r="BC336" s="420">
        <f>AW336+AX336</f>
        <v>0</v>
      </c>
      <c r="BD336" s="420">
        <f>H336/(100-BE336)*100</f>
        <v>0</v>
      </c>
      <c r="BE336" s="420">
        <v>0</v>
      </c>
      <c r="BF336" s="420">
        <f>M336</f>
        <v>0</v>
      </c>
      <c r="BH336" s="420">
        <f>G336*AO336</f>
        <v>0</v>
      </c>
      <c r="BI336" s="420">
        <f>G336*AP336</f>
        <v>0</v>
      </c>
      <c r="BJ336" s="420">
        <f>G336*H336</f>
        <v>0</v>
      </c>
      <c r="BK336" s="420"/>
      <c r="BL336" s="420">
        <v>91</v>
      </c>
    </row>
    <row r="337" spans="1:64" ht="15" customHeight="1">
      <c r="A337" s="423"/>
      <c r="D337" s="424" t="s">
        <v>1469</v>
      </c>
      <c r="E337" s="424" t="s">
        <v>654</v>
      </c>
      <c r="G337" s="425">
        <v>590</v>
      </c>
      <c r="N337" s="426"/>
    </row>
    <row r="338" spans="1:64" ht="15" customHeight="1">
      <c r="A338" s="416" t="s">
        <v>654</v>
      </c>
      <c r="B338" s="417" t="s">
        <v>654</v>
      </c>
      <c r="C338" s="417" t="s">
        <v>1031</v>
      </c>
      <c r="D338" s="455" t="s">
        <v>1032</v>
      </c>
      <c r="E338" s="455"/>
      <c r="F338" s="418" t="s">
        <v>608</v>
      </c>
      <c r="G338" s="418" t="s">
        <v>608</v>
      </c>
      <c r="H338" s="418"/>
      <c r="I338" s="400">
        <f>SUM(I339:I341)</f>
        <v>0</v>
      </c>
      <c r="J338" s="400">
        <f>SUM(J339:J341)</f>
        <v>0</v>
      </c>
      <c r="K338" s="400">
        <f>SUM(K339:K341)</f>
        <v>0</v>
      </c>
      <c r="L338" s="408" t="s">
        <v>654</v>
      </c>
      <c r="M338" s="400">
        <f>SUM(M339:M341)</f>
        <v>0</v>
      </c>
      <c r="N338" s="419" t="s">
        <v>654</v>
      </c>
      <c r="AI338" s="408" t="s">
        <v>654</v>
      </c>
      <c r="AS338" s="400">
        <f>SUM(AJ339:AJ341)</f>
        <v>0</v>
      </c>
      <c r="AT338" s="400">
        <f>SUM(AK339:AK341)</f>
        <v>0</v>
      </c>
      <c r="AU338" s="400">
        <f>SUM(AL339:AL341)</f>
        <v>0</v>
      </c>
    </row>
    <row r="339" spans="1:64" ht="15" customHeight="1">
      <c r="A339" s="401" t="s">
        <v>1037</v>
      </c>
      <c r="B339" s="402" t="s">
        <v>654</v>
      </c>
      <c r="C339" s="402" t="s">
        <v>1034</v>
      </c>
      <c r="D339" s="440" t="s">
        <v>1035</v>
      </c>
      <c r="E339" s="440"/>
      <c r="F339" s="402" t="s">
        <v>10</v>
      </c>
      <c r="G339" s="420">
        <v>934.79898000000003</v>
      </c>
      <c r="H339" s="420"/>
      <c r="I339" s="420">
        <f>G339*AO339</f>
        <v>0</v>
      </c>
      <c r="J339" s="420">
        <f>G339*AP339</f>
        <v>0</v>
      </c>
      <c r="K339" s="420">
        <f>G339*H339</f>
        <v>0</v>
      </c>
      <c r="L339" s="420">
        <v>0</v>
      </c>
      <c r="M339" s="420">
        <f>G339*L339</f>
        <v>0</v>
      </c>
      <c r="N339" s="421" t="s">
        <v>1358</v>
      </c>
      <c r="Z339" s="420">
        <f>IF(AQ339="5",BJ339,0)</f>
        <v>0</v>
      </c>
      <c r="AB339" s="420">
        <f>IF(AQ339="1",BH339,0)</f>
        <v>0</v>
      </c>
      <c r="AC339" s="420">
        <f>IF(AQ339="1",BI339,0)</f>
        <v>0</v>
      </c>
      <c r="AD339" s="420">
        <f>IF(AQ339="7",BH339,0)</f>
        <v>0</v>
      </c>
      <c r="AE339" s="420">
        <f>IF(AQ339="7",BI339,0)</f>
        <v>0</v>
      </c>
      <c r="AF339" s="420">
        <f>IF(AQ339="2",BH339,0)</f>
        <v>0</v>
      </c>
      <c r="AG339" s="420">
        <f>IF(AQ339="2",BI339,0)</f>
        <v>0</v>
      </c>
      <c r="AH339" s="420">
        <f>IF(AQ339="0",BJ339,0)</f>
        <v>0</v>
      </c>
      <c r="AI339" s="408" t="s">
        <v>654</v>
      </c>
      <c r="AJ339" s="420">
        <f>IF(AN339=0,K339,0)</f>
        <v>0</v>
      </c>
      <c r="AK339" s="420">
        <f>IF(AN339=15,K339,0)</f>
        <v>0</v>
      </c>
      <c r="AL339" s="420">
        <f>IF(AN339=21,K339,0)</f>
        <v>0</v>
      </c>
      <c r="AN339" s="420">
        <v>21</v>
      </c>
      <c r="AO339" s="420">
        <f>H339*0</f>
        <v>0</v>
      </c>
      <c r="AP339" s="420">
        <f>H339*(1-0)</f>
        <v>0</v>
      </c>
      <c r="AQ339" s="422" t="s">
        <v>680</v>
      </c>
      <c r="AV339" s="420">
        <f>AW339+AX339</f>
        <v>0</v>
      </c>
      <c r="AW339" s="420">
        <f>G339*AO339</f>
        <v>0</v>
      </c>
      <c r="AX339" s="420">
        <f>G339*AP339</f>
        <v>0</v>
      </c>
      <c r="AY339" s="422" t="s">
        <v>1036</v>
      </c>
      <c r="AZ339" s="422" t="s">
        <v>1023</v>
      </c>
      <c r="BA339" s="408" t="s">
        <v>662</v>
      </c>
      <c r="BC339" s="420">
        <f>AW339+AX339</f>
        <v>0</v>
      </c>
      <c r="BD339" s="420">
        <f>H339/(100-BE339)*100</f>
        <v>0</v>
      </c>
      <c r="BE339" s="420">
        <v>0</v>
      </c>
      <c r="BF339" s="420">
        <f>M339</f>
        <v>0</v>
      </c>
      <c r="BH339" s="420">
        <f>G339*AO339</f>
        <v>0</v>
      </c>
      <c r="BI339" s="420">
        <f>G339*AP339</f>
        <v>0</v>
      </c>
      <c r="BJ339" s="420">
        <f>G339*H339</f>
        <v>0</v>
      </c>
      <c r="BK339" s="420"/>
      <c r="BL339" s="420"/>
    </row>
    <row r="340" spans="1:64" ht="15" customHeight="1">
      <c r="A340" s="423"/>
      <c r="D340" s="424" t="s">
        <v>1470</v>
      </c>
      <c r="E340" s="424" t="s">
        <v>654</v>
      </c>
      <c r="G340" s="425">
        <v>934.79898000000003</v>
      </c>
      <c r="N340" s="426"/>
    </row>
    <row r="341" spans="1:64" ht="15" customHeight="1">
      <c r="A341" s="401" t="s">
        <v>1042</v>
      </c>
      <c r="B341" s="402" t="s">
        <v>654</v>
      </c>
      <c r="C341" s="402" t="s">
        <v>1038</v>
      </c>
      <c r="D341" s="440" t="s">
        <v>1039</v>
      </c>
      <c r="E341" s="440"/>
      <c r="F341" s="402" t="s">
        <v>10</v>
      </c>
      <c r="G341" s="420">
        <v>81.635739999999998</v>
      </c>
      <c r="H341" s="420"/>
      <c r="I341" s="420">
        <f>G341*AO341</f>
        <v>0</v>
      </c>
      <c r="J341" s="420">
        <f>G341*AP341</f>
        <v>0</v>
      </c>
      <c r="K341" s="420">
        <f>G341*H341</f>
        <v>0</v>
      </c>
      <c r="L341" s="420">
        <v>0</v>
      </c>
      <c r="M341" s="420">
        <f>G341*L341</f>
        <v>0</v>
      </c>
      <c r="N341" s="421" t="s">
        <v>1358</v>
      </c>
      <c r="Z341" s="420">
        <f>IF(AQ341="5",BJ341,0)</f>
        <v>0</v>
      </c>
      <c r="AB341" s="420">
        <f>IF(AQ341="1",BH341,0)</f>
        <v>0</v>
      </c>
      <c r="AC341" s="420">
        <f>IF(AQ341="1",BI341,0)</f>
        <v>0</v>
      </c>
      <c r="AD341" s="420">
        <f>IF(AQ341="7",BH341,0)</f>
        <v>0</v>
      </c>
      <c r="AE341" s="420">
        <f>IF(AQ341="7",BI341,0)</f>
        <v>0</v>
      </c>
      <c r="AF341" s="420">
        <f>IF(AQ341="2",BH341,0)</f>
        <v>0</v>
      </c>
      <c r="AG341" s="420">
        <f>IF(AQ341="2",BI341,0)</f>
        <v>0</v>
      </c>
      <c r="AH341" s="420">
        <f>IF(AQ341="0",BJ341,0)</f>
        <v>0</v>
      </c>
      <c r="AI341" s="408" t="s">
        <v>654</v>
      </c>
      <c r="AJ341" s="420">
        <f>IF(AN341=0,K341,0)</f>
        <v>0</v>
      </c>
      <c r="AK341" s="420">
        <f>IF(AN341=15,K341,0)</f>
        <v>0</v>
      </c>
      <c r="AL341" s="420">
        <f>IF(AN341=21,K341,0)</f>
        <v>0</v>
      </c>
      <c r="AN341" s="420">
        <v>21</v>
      </c>
      <c r="AO341" s="420">
        <f>H341*0</f>
        <v>0</v>
      </c>
      <c r="AP341" s="420">
        <f>H341*(1-0)</f>
        <v>0</v>
      </c>
      <c r="AQ341" s="422" t="s">
        <v>680</v>
      </c>
      <c r="AV341" s="420">
        <f>AW341+AX341</f>
        <v>0</v>
      </c>
      <c r="AW341" s="420">
        <f>G341*AO341</f>
        <v>0</v>
      </c>
      <c r="AX341" s="420">
        <f>G341*AP341</f>
        <v>0</v>
      </c>
      <c r="AY341" s="422" t="s">
        <v>1036</v>
      </c>
      <c r="AZ341" s="422" t="s">
        <v>1023</v>
      </c>
      <c r="BA341" s="408" t="s">
        <v>662</v>
      </c>
      <c r="BC341" s="420">
        <f>AW341+AX341</f>
        <v>0</v>
      </c>
      <c r="BD341" s="420">
        <f>H341/(100-BE341)*100</f>
        <v>0</v>
      </c>
      <c r="BE341" s="420">
        <v>0</v>
      </c>
      <c r="BF341" s="420">
        <f>M341</f>
        <v>0</v>
      </c>
      <c r="BH341" s="420">
        <f>G341*AO341</f>
        <v>0</v>
      </c>
      <c r="BI341" s="420">
        <f>G341*AP341</f>
        <v>0</v>
      </c>
      <c r="BJ341" s="420">
        <f>G341*H341</f>
        <v>0</v>
      </c>
      <c r="BK341" s="420"/>
      <c r="BL341" s="420"/>
    </row>
    <row r="342" spans="1:64" ht="15" customHeight="1">
      <c r="A342" s="423"/>
      <c r="D342" s="424" t="s">
        <v>1471</v>
      </c>
      <c r="E342" s="424" t="s">
        <v>654</v>
      </c>
      <c r="G342" s="425">
        <v>81.635740000000013</v>
      </c>
      <c r="N342" s="426"/>
    </row>
    <row r="343" spans="1:64" ht="15" customHeight="1">
      <c r="A343" s="416" t="s">
        <v>654</v>
      </c>
      <c r="B343" s="417" t="s">
        <v>654</v>
      </c>
      <c r="C343" s="417" t="s">
        <v>1040</v>
      </c>
      <c r="D343" s="455" t="s">
        <v>1041</v>
      </c>
      <c r="E343" s="455"/>
      <c r="F343" s="418" t="s">
        <v>608</v>
      </c>
      <c r="G343" s="418" t="s">
        <v>608</v>
      </c>
      <c r="H343" s="418"/>
      <c r="I343" s="400">
        <f>SUM(I344:I344)</f>
        <v>0</v>
      </c>
      <c r="J343" s="400">
        <f>SUM(J344:J344)</f>
        <v>0</v>
      </c>
      <c r="K343" s="400">
        <f>SUM(K344:K344)</f>
        <v>0</v>
      </c>
      <c r="L343" s="408" t="s">
        <v>654</v>
      </c>
      <c r="M343" s="400">
        <f>SUM(M344:M344)</f>
        <v>0</v>
      </c>
      <c r="N343" s="419" t="s">
        <v>654</v>
      </c>
      <c r="AI343" s="408" t="s">
        <v>654</v>
      </c>
      <c r="AS343" s="400">
        <f>SUM(AJ344:AJ344)</f>
        <v>0</v>
      </c>
      <c r="AT343" s="400">
        <f>SUM(AK344:AK344)</f>
        <v>0</v>
      </c>
      <c r="AU343" s="400">
        <f>SUM(AL344:AL344)</f>
        <v>0</v>
      </c>
    </row>
    <row r="344" spans="1:64" ht="15" customHeight="1">
      <c r="A344" s="401" t="s">
        <v>1048</v>
      </c>
      <c r="B344" s="402" t="s">
        <v>654</v>
      </c>
      <c r="C344" s="402" t="s">
        <v>1043</v>
      </c>
      <c r="D344" s="440" t="s">
        <v>1044</v>
      </c>
      <c r="E344" s="440"/>
      <c r="F344" s="402" t="s">
        <v>10</v>
      </c>
      <c r="G344" s="420">
        <v>2232.1376599999999</v>
      </c>
      <c r="H344" s="420"/>
      <c r="I344" s="420">
        <f>G344*AO344</f>
        <v>0</v>
      </c>
      <c r="J344" s="420">
        <f>G344*AP344</f>
        <v>0</v>
      </c>
      <c r="K344" s="420">
        <f>G344*H344</f>
        <v>0</v>
      </c>
      <c r="L344" s="420">
        <v>0</v>
      </c>
      <c r="M344" s="420">
        <f>G344*L344</f>
        <v>0</v>
      </c>
      <c r="N344" s="421" t="s">
        <v>1358</v>
      </c>
      <c r="Z344" s="420">
        <f>IF(AQ344="5",BJ344,0)</f>
        <v>0</v>
      </c>
      <c r="AB344" s="420">
        <f>IF(AQ344="1",BH344,0)</f>
        <v>0</v>
      </c>
      <c r="AC344" s="420">
        <f>IF(AQ344="1",BI344,0)</f>
        <v>0</v>
      </c>
      <c r="AD344" s="420">
        <f>IF(AQ344="7",BH344,0)</f>
        <v>0</v>
      </c>
      <c r="AE344" s="420">
        <f>IF(AQ344="7",BI344,0)</f>
        <v>0</v>
      </c>
      <c r="AF344" s="420">
        <f>IF(AQ344="2",BH344,0)</f>
        <v>0</v>
      </c>
      <c r="AG344" s="420">
        <f>IF(AQ344="2",BI344,0)</f>
        <v>0</v>
      </c>
      <c r="AH344" s="420">
        <f>IF(AQ344="0",BJ344,0)</f>
        <v>0</v>
      </c>
      <c r="AI344" s="408" t="s">
        <v>654</v>
      </c>
      <c r="AJ344" s="420">
        <f>IF(AN344=0,K344,0)</f>
        <v>0</v>
      </c>
      <c r="AK344" s="420">
        <f>IF(AN344=15,K344,0)</f>
        <v>0</v>
      </c>
      <c r="AL344" s="420">
        <f>IF(AN344=21,K344,0)</f>
        <v>0</v>
      </c>
      <c r="AN344" s="420">
        <v>21</v>
      </c>
      <c r="AO344" s="420">
        <f>H344*0</f>
        <v>0</v>
      </c>
      <c r="AP344" s="420">
        <f>H344*(1-0)</f>
        <v>0</v>
      </c>
      <c r="AQ344" s="422" t="s">
        <v>680</v>
      </c>
      <c r="AV344" s="420">
        <f>AW344+AX344</f>
        <v>0</v>
      </c>
      <c r="AW344" s="420">
        <f>G344*AO344</f>
        <v>0</v>
      </c>
      <c r="AX344" s="420">
        <f>G344*AP344</f>
        <v>0</v>
      </c>
      <c r="AY344" s="422" t="s">
        <v>1045</v>
      </c>
      <c r="AZ344" s="422" t="s">
        <v>1023</v>
      </c>
      <c r="BA344" s="408" t="s">
        <v>662</v>
      </c>
      <c r="BC344" s="420">
        <f>AW344+AX344</f>
        <v>0</v>
      </c>
      <c r="BD344" s="420">
        <f>H344/(100-BE344)*100</f>
        <v>0</v>
      </c>
      <c r="BE344" s="420">
        <v>0</v>
      </c>
      <c r="BF344" s="420">
        <f>M344</f>
        <v>0</v>
      </c>
      <c r="BH344" s="420">
        <f>G344*AO344</f>
        <v>0</v>
      </c>
      <c r="BI344" s="420">
        <f>G344*AP344</f>
        <v>0</v>
      </c>
      <c r="BJ344" s="420">
        <f>G344*H344</f>
        <v>0</v>
      </c>
      <c r="BK344" s="420"/>
      <c r="BL344" s="420"/>
    </row>
    <row r="345" spans="1:64" ht="15" customHeight="1">
      <c r="A345" s="423"/>
      <c r="D345" s="424" t="s">
        <v>1472</v>
      </c>
      <c r="E345" s="424" t="s">
        <v>654</v>
      </c>
      <c r="G345" s="425">
        <v>2232.1376600000003</v>
      </c>
      <c r="N345" s="426"/>
    </row>
    <row r="346" spans="1:64" ht="15" customHeight="1">
      <c r="A346" s="416" t="s">
        <v>654</v>
      </c>
      <c r="B346" s="417" t="s">
        <v>654</v>
      </c>
      <c r="C346" s="417" t="s">
        <v>1046</v>
      </c>
      <c r="D346" s="455" t="s">
        <v>1047</v>
      </c>
      <c r="E346" s="455"/>
      <c r="F346" s="418" t="s">
        <v>608</v>
      </c>
      <c r="G346" s="418" t="s">
        <v>608</v>
      </c>
      <c r="H346" s="418"/>
      <c r="I346" s="400">
        <f>SUM(I347:I347)</f>
        <v>0</v>
      </c>
      <c r="J346" s="400">
        <f>SUM(J347:J347)</f>
        <v>0</v>
      </c>
      <c r="K346" s="400">
        <f>SUM(K347:K347)</f>
        <v>0</v>
      </c>
      <c r="L346" s="408" t="s">
        <v>654</v>
      </c>
      <c r="M346" s="400">
        <f>SUM(M347:M347)</f>
        <v>0.30347999999999997</v>
      </c>
      <c r="N346" s="419" t="s">
        <v>654</v>
      </c>
      <c r="AI346" s="408" t="s">
        <v>654</v>
      </c>
      <c r="AS346" s="400">
        <f>SUM(AJ347:AJ347)</f>
        <v>0</v>
      </c>
      <c r="AT346" s="400">
        <f>SUM(AK347:AK347)</f>
        <v>0</v>
      </c>
      <c r="AU346" s="400">
        <f>SUM(AL347:AL347)</f>
        <v>0</v>
      </c>
    </row>
    <row r="347" spans="1:64" ht="15" customHeight="1">
      <c r="A347" s="401" t="s">
        <v>1055</v>
      </c>
      <c r="B347" s="402" t="s">
        <v>654</v>
      </c>
      <c r="C347" s="402" t="s">
        <v>1049</v>
      </c>
      <c r="D347" s="440" t="s">
        <v>1050</v>
      </c>
      <c r="E347" s="440"/>
      <c r="F347" s="402" t="s">
        <v>694</v>
      </c>
      <c r="G347" s="420">
        <v>0.18</v>
      </c>
      <c r="H347" s="420"/>
      <c r="I347" s="420">
        <f>G347*AO347</f>
        <v>0</v>
      </c>
      <c r="J347" s="420">
        <f>G347*AP347</f>
        <v>0</v>
      </c>
      <c r="K347" s="420">
        <f>G347*H347</f>
        <v>0</v>
      </c>
      <c r="L347" s="420">
        <v>1.6859999999999999</v>
      </c>
      <c r="M347" s="420">
        <f>G347*L347</f>
        <v>0.30347999999999997</v>
      </c>
      <c r="N347" s="421" t="s">
        <v>1358</v>
      </c>
      <c r="Z347" s="420">
        <f>IF(AQ347="5",BJ347,0)</f>
        <v>0</v>
      </c>
      <c r="AB347" s="420">
        <f>IF(AQ347="1",BH347,0)</f>
        <v>0</v>
      </c>
      <c r="AC347" s="420">
        <f>IF(AQ347="1",BI347,0)</f>
        <v>0</v>
      </c>
      <c r="AD347" s="420">
        <f>IF(AQ347="7",BH347,0)</f>
        <v>0</v>
      </c>
      <c r="AE347" s="420">
        <f>IF(AQ347="7",BI347,0)</f>
        <v>0</v>
      </c>
      <c r="AF347" s="420">
        <f>IF(AQ347="2",BH347,0)</f>
        <v>0</v>
      </c>
      <c r="AG347" s="420">
        <f>IF(AQ347="2",BI347,0)</f>
        <v>0</v>
      </c>
      <c r="AH347" s="420">
        <f>IF(AQ347="0",BJ347,0)</f>
        <v>0</v>
      </c>
      <c r="AI347" s="408" t="s">
        <v>654</v>
      </c>
      <c r="AJ347" s="420">
        <f>IF(AN347=0,K347,0)</f>
        <v>0</v>
      </c>
      <c r="AK347" s="420">
        <f>IF(AN347=15,K347,0)</f>
        <v>0</v>
      </c>
      <c r="AL347" s="420">
        <f>IF(AN347=21,K347,0)</f>
        <v>0</v>
      </c>
      <c r="AN347" s="420">
        <v>21</v>
      </c>
      <c r="AO347" s="420">
        <f>H347*0.777392290249433</f>
        <v>0</v>
      </c>
      <c r="AP347" s="420">
        <f>H347*(1-0.777392290249433)</f>
        <v>0</v>
      </c>
      <c r="AQ347" s="422" t="s">
        <v>666</v>
      </c>
      <c r="AV347" s="420">
        <f>AW347+AX347</f>
        <v>0</v>
      </c>
      <c r="AW347" s="420">
        <f>G347*AO347</f>
        <v>0</v>
      </c>
      <c r="AX347" s="420">
        <f>G347*AP347</f>
        <v>0</v>
      </c>
      <c r="AY347" s="422" t="s">
        <v>1051</v>
      </c>
      <c r="AZ347" s="422" t="s">
        <v>1023</v>
      </c>
      <c r="BA347" s="408" t="s">
        <v>662</v>
      </c>
      <c r="BC347" s="420">
        <f>AW347+AX347</f>
        <v>0</v>
      </c>
      <c r="BD347" s="420">
        <f>H347/(100-BE347)*100</f>
        <v>0</v>
      </c>
      <c r="BE347" s="420">
        <v>0</v>
      </c>
      <c r="BF347" s="420">
        <f>M347</f>
        <v>0.30347999999999997</v>
      </c>
      <c r="BH347" s="420">
        <f>G347*AO347</f>
        <v>0</v>
      </c>
      <c r="BI347" s="420">
        <f>G347*AP347</f>
        <v>0</v>
      </c>
      <c r="BJ347" s="420">
        <f>G347*H347</f>
        <v>0</v>
      </c>
      <c r="BK347" s="420"/>
      <c r="BL347" s="420"/>
    </row>
    <row r="348" spans="1:64" ht="15" customHeight="1">
      <c r="A348" s="423"/>
      <c r="D348" s="424" t="s">
        <v>1052</v>
      </c>
      <c r="E348" s="424" t="s">
        <v>654</v>
      </c>
      <c r="G348" s="425">
        <v>0.18000000000000002</v>
      </c>
      <c r="N348" s="426"/>
    </row>
    <row r="349" spans="1:64" ht="15" customHeight="1">
      <c r="A349" s="416" t="s">
        <v>654</v>
      </c>
      <c r="B349" s="417" t="s">
        <v>654</v>
      </c>
      <c r="C349" s="417" t="s">
        <v>1053</v>
      </c>
      <c r="D349" s="455" t="s">
        <v>1054</v>
      </c>
      <c r="E349" s="455"/>
      <c r="F349" s="418" t="s">
        <v>608</v>
      </c>
      <c r="G349" s="418" t="s">
        <v>608</v>
      </c>
      <c r="H349" s="418"/>
      <c r="I349" s="400">
        <f>SUM(I350:I356)</f>
        <v>0</v>
      </c>
      <c r="J349" s="400">
        <f>SUM(J350:J356)</f>
        <v>0</v>
      </c>
      <c r="K349" s="400">
        <f>SUM(K350:K356)</f>
        <v>0</v>
      </c>
      <c r="L349" s="408" t="s">
        <v>654</v>
      </c>
      <c r="M349" s="400">
        <f>SUM(M350:M356)</f>
        <v>0</v>
      </c>
      <c r="N349" s="419" t="s">
        <v>654</v>
      </c>
      <c r="AI349" s="408" t="s">
        <v>654</v>
      </c>
      <c r="AS349" s="400">
        <f>SUM(AJ350:AJ356)</f>
        <v>0</v>
      </c>
      <c r="AT349" s="400">
        <f>SUM(AK350:AK356)</f>
        <v>0</v>
      </c>
      <c r="AU349" s="400">
        <f>SUM(AL350:AL356)</f>
        <v>0</v>
      </c>
    </row>
    <row r="350" spans="1:64" ht="15" customHeight="1">
      <c r="A350" s="401" t="s">
        <v>1059</v>
      </c>
      <c r="B350" s="402" t="s">
        <v>654</v>
      </c>
      <c r="C350" s="402" t="s">
        <v>1056</v>
      </c>
      <c r="D350" s="440" t="s">
        <v>1057</v>
      </c>
      <c r="E350" s="440"/>
      <c r="F350" s="402" t="s">
        <v>10</v>
      </c>
      <c r="G350" s="420">
        <v>791.18790000000001</v>
      </c>
      <c r="H350" s="420"/>
      <c r="I350" s="420">
        <f>G350*AO350</f>
        <v>0</v>
      </c>
      <c r="J350" s="420">
        <f>G350*AP350</f>
        <v>0</v>
      </c>
      <c r="K350" s="420">
        <f>G350*H350</f>
        <v>0</v>
      </c>
      <c r="L350" s="420">
        <v>0</v>
      </c>
      <c r="M350" s="420">
        <f>G350*L350</f>
        <v>0</v>
      </c>
      <c r="N350" s="421" t="s">
        <v>1358</v>
      </c>
      <c r="Z350" s="420">
        <f>IF(AQ350="5",BJ350,0)</f>
        <v>0</v>
      </c>
      <c r="AB350" s="420">
        <f>IF(AQ350="1",BH350,0)</f>
        <v>0</v>
      </c>
      <c r="AC350" s="420">
        <f>IF(AQ350="1",BI350,0)</f>
        <v>0</v>
      </c>
      <c r="AD350" s="420">
        <f>IF(AQ350="7",BH350,0)</f>
        <v>0</v>
      </c>
      <c r="AE350" s="420">
        <f>IF(AQ350="7",BI350,0)</f>
        <v>0</v>
      </c>
      <c r="AF350" s="420">
        <f>IF(AQ350="2",BH350,0)</f>
        <v>0</v>
      </c>
      <c r="AG350" s="420">
        <f>IF(AQ350="2",BI350,0)</f>
        <v>0</v>
      </c>
      <c r="AH350" s="420">
        <f>IF(AQ350="0",BJ350,0)</f>
        <v>0</v>
      </c>
      <c r="AI350" s="408" t="s">
        <v>654</v>
      </c>
      <c r="AJ350" s="420">
        <f>IF(AN350=0,K350,0)</f>
        <v>0</v>
      </c>
      <c r="AK350" s="420">
        <f>IF(AN350=15,K350,0)</f>
        <v>0</v>
      </c>
      <c r="AL350" s="420">
        <f>IF(AN350=21,K350,0)</f>
        <v>0</v>
      </c>
      <c r="AN350" s="420">
        <v>21</v>
      </c>
      <c r="AO350" s="420">
        <f>H350*0</f>
        <v>0</v>
      </c>
      <c r="AP350" s="420">
        <f>H350*(1-0)</f>
        <v>0</v>
      </c>
      <c r="AQ350" s="422" t="s">
        <v>680</v>
      </c>
      <c r="AV350" s="420">
        <f>AW350+AX350</f>
        <v>0</v>
      </c>
      <c r="AW350" s="420">
        <f>G350*AO350</f>
        <v>0</v>
      </c>
      <c r="AX350" s="420">
        <f>G350*AP350</f>
        <v>0</v>
      </c>
      <c r="AY350" s="422" t="s">
        <v>1058</v>
      </c>
      <c r="AZ350" s="422" t="s">
        <v>1023</v>
      </c>
      <c r="BA350" s="408" t="s">
        <v>662</v>
      </c>
      <c r="BC350" s="420">
        <f>AW350+AX350</f>
        <v>0</v>
      </c>
      <c r="BD350" s="420">
        <f>H350/(100-BE350)*100</f>
        <v>0</v>
      </c>
      <c r="BE350" s="420">
        <v>0</v>
      </c>
      <c r="BF350" s="420">
        <f>M350</f>
        <v>0</v>
      </c>
      <c r="BH350" s="420">
        <f>G350*AO350</f>
        <v>0</v>
      </c>
      <c r="BI350" s="420">
        <f>G350*AP350</f>
        <v>0</v>
      </c>
      <c r="BJ350" s="420">
        <f>G350*H350</f>
        <v>0</v>
      </c>
      <c r="BK350" s="420"/>
      <c r="BL350" s="420"/>
    </row>
    <row r="351" spans="1:64" ht="15" customHeight="1">
      <c r="A351" s="423"/>
      <c r="D351" s="424" t="s">
        <v>1473</v>
      </c>
      <c r="E351" s="424" t="s">
        <v>654</v>
      </c>
      <c r="G351" s="425">
        <v>791.18790000000001</v>
      </c>
      <c r="N351" s="426"/>
    </row>
    <row r="352" spans="1:64" ht="15" customHeight="1">
      <c r="A352" s="401" t="s">
        <v>1061</v>
      </c>
      <c r="B352" s="402" t="s">
        <v>654</v>
      </c>
      <c r="C352" s="402" t="s">
        <v>1062</v>
      </c>
      <c r="D352" s="440" t="s">
        <v>1063</v>
      </c>
      <c r="E352" s="440"/>
      <c r="F352" s="402" t="s">
        <v>10</v>
      </c>
      <c r="G352" s="420">
        <v>791.73789999999997</v>
      </c>
      <c r="H352" s="420"/>
      <c r="I352" s="420">
        <f>G352*AO352</f>
        <v>0</v>
      </c>
      <c r="J352" s="420">
        <f>G352*AP352</f>
        <v>0</v>
      </c>
      <c r="K352" s="420">
        <f>G352*H352</f>
        <v>0</v>
      </c>
      <c r="L352" s="420">
        <v>0</v>
      </c>
      <c r="M352" s="420">
        <f>G352*L352</f>
        <v>0</v>
      </c>
      <c r="N352" s="421" t="s">
        <v>1358</v>
      </c>
      <c r="Z352" s="420">
        <f>IF(AQ352="5",BJ352,0)</f>
        <v>0</v>
      </c>
      <c r="AB352" s="420">
        <f>IF(AQ352="1",BH352,0)</f>
        <v>0</v>
      </c>
      <c r="AC352" s="420">
        <f>IF(AQ352="1",BI352,0)</f>
        <v>0</v>
      </c>
      <c r="AD352" s="420">
        <f>IF(AQ352="7",BH352,0)</f>
        <v>0</v>
      </c>
      <c r="AE352" s="420">
        <f>IF(AQ352="7",BI352,0)</f>
        <v>0</v>
      </c>
      <c r="AF352" s="420">
        <f>IF(AQ352="2",BH352,0)</f>
        <v>0</v>
      </c>
      <c r="AG352" s="420">
        <f>IF(AQ352="2",BI352,0)</f>
        <v>0</v>
      </c>
      <c r="AH352" s="420">
        <f>IF(AQ352="0",BJ352,0)</f>
        <v>0</v>
      </c>
      <c r="AI352" s="408" t="s">
        <v>654</v>
      </c>
      <c r="AJ352" s="420">
        <f>IF(AN352=0,K352,0)</f>
        <v>0</v>
      </c>
      <c r="AK352" s="420">
        <f>IF(AN352=15,K352,0)</f>
        <v>0</v>
      </c>
      <c r="AL352" s="420">
        <f>IF(AN352=21,K352,0)</f>
        <v>0</v>
      </c>
      <c r="AN352" s="420">
        <v>21</v>
      </c>
      <c r="AO352" s="420">
        <f>H352*0</f>
        <v>0</v>
      </c>
      <c r="AP352" s="420">
        <f>H352*(1-0)</f>
        <v>0</v>
      </c>
      <c r="AQ352" s="422" t="s">
        <v>680</v>
      </c>
      <c r="AV352" s="420">
        <f>AW352+AX352</f>
        <v>0</v>
      </c>
      <c r="AW352" s="420">
        <f>G352*AO352</f>
        <v>0</v>
      </c>
      <c r="AX352" s="420">
        <f>G352*AP352</f>
        <v>0</v>
      </c>
      <c r="AY352" s="422" t="s">
        <v>1058</v>
      </c>
      <c r="AZ352" s="422" t="s">
        <v>1023</v>
      </c>
      <c r="BA352" s="408" t="s">
        <v>662</v>
      </c>
      <c r="BC352" s="420">
        <f>AW352+AX352</f>
        <v>0</v>
      </c>
      <c r="BD352" s="420">
        <f>H352/(100-BE352)*100</f>
        <v>0</v>
      </c>
      <c r="BE352" s="420">
        <v>0</v>
      </c>
      <c r="BF352" s="420">
        <f>M352</f>
        <v>0</v>
      </c>
      <c r="BH352" s="420">
        <f>G352*AO352</f>
        <v>0</v>
      </c>
      <c r="BI352" s="420">
        <f>G352*AP352</f>
        <v>0</v>
      </c>
      <c r="BJ352" s="420">
        <f>G352*H352</f>
        <v>0</v>
      </c>
      <c r="BK352" s="420"/>
      <c r="BL352" s="420"/>
    </row>
    <row r="353" spans="1:64" ht="15" customHeight="1">
      <c r="A353" s="423"/>
      <c r="D353" s="424" t="s">
        <v>1474</v>
      </c>
      <c r="E353" s="424" t="s">
        <v>654</v>
      </c>
      <c r="G353" s="425">
        <v>791.73790000000008</v>
      </c>
      <c r="N353" s="426"/>
    </row>
    <row r="354" spans="1:64" ht="15" customHeight="1">
      <c r="A354" s="401" t="s">
        <v>1064</v>
      </c>
      <c r="B354" s="402" t="s">
        <v>654</v>
      </c>
      <c r="C354" s="402" t="s">
        <v>1065</v>
      </c>
      <c r="D354" s="440" t="s">
        <v>1066</v>
      </c>
      <c r="E354" s="440"/>
      <c r="F354" s="402" t="s">
        <v>10</v>
      </c>
      <c r="G354" s="420">
        <v>15043.0201</v>
      </c>
      <c r="H354" s="420"/>
      <c r="I354" s="420">
        <f>G354*AO354</f>
        <v>0</v>
      </c>
      <c r="J354" s="420">
        <f>G354*AP354</f>
        <v>0</v>
      </c>
      <c r="K354" s="420">
        <f>G354*H354</f>
        <v>0</v>
      </c>
      <c r="L354" s="420">
        <v>0</v>
      </c>
      <c r="M354" s="420">
        <f>G354*L354</f>
        <v>0</v>
      </c>
      <c r="N354" s="421" t="s">
        <v>1358</v>
      </c>
      <c r="Z354" s="420">
        <f>IF(AQ354="5",BJ354,0)</f>
        <v>0</v>
      </c>
      <c r="AB354" s="420">
        <f>IF(AQ354="1",BH354,0)</f>
        <v>0</v>
      </c>
      <c r="AC354" s="420">
        <f>IF(AQ354="1",BI354,0)</f>
        <v>0</v>
      </c>
      <c r="AD354" s="420">
        <f>IF(AQ354="7",BH354,0)</f>
        <v>0</v>
      </c>
      <c r="AE354" s="420">
        <f>IF(AQ354="7",BI354,0)</f>
        <v>0</v>
      </c>
      <c r="AF354" s="420">
        <f>IF(AQ354="2",BH354,0)</f>
        <v>0</v>
      </c>
      <c r="AG354" s="420">
        <f>IF(AQ354="2",BI354,0)</f>
        <v>0</v>
      </c>
      <c r="AH354" s="420">
        <f>IF(AQ354="0",BJ354,0)</f>
        <v>0</v>
      </c>
      <c r="AI354" s="408" t="s">
        <v>654</v>
      </c>
      <c r="AJ354" s="420">
        <f>IF(AN354=0,K354,0)</f>
        <v>0</v>
      </c>
      <c r="AK354" s="420">
        <f>IF(AN354=15,K354,0)</f>
        <v>0</v>
      </c>
      <c r="AL354" s="420">
        <f>IF(AN354=21,K354,0)</f>
        <v>0</v>
      </c>
      <c r="AN354" s="420">
        <v>21</v>
      </c>
      <c r="AO354" s="420">
        <f>H354*0</f>
        <v>0</v>
      </c>
      <c r="AP354" s="420">
        <f>H354*(1-0)</f>
        <v>0</v>
      </c>
      <c r="AQ354" s="422" t="s">
        <v>680</v>
      </c>
      <c r="AV354" s="420">
        <f>AW354+AX354</f>
        <v>0</v>
      </c>
      <c r="AW354" s="420">
        <f>G354*AO354</f>
        <v>0</v>
      </c>
      <c r="AX354" s="420">
        <f>G354*AP354</f>
        <v>0</v>
      </c>
      <c r="AY354" s="422" t="s">
        <v>1058</v>
      </c>
      <c r="AZ354" s="422" t="s">
        <v>1023</v>
      </c>
      <c r="BA354" s="408" t="s">
        <v>662</v>
      </c>
      <c r="BC354" s="420">
        <f>AW354+AX354</f>
        <v>0</v>
      </c>
      <c r="BD354" s="420">
        <f>H354/(100-BE354)*100</f>
        <v>0</v>
      </c>
      <c r="BE354" s="420">
        <v>0</v>
      </c>
      <c r="BF354" s="420">
        <f>M354</f>
        <v>0</v>
      </c>
      <c r="BH354" s="420">
        <f>G354*AO354</f>
        <v>0</v>
      </c>
      <c r="BI354" s="420">
        <f>G354*AP354</f>
        <v>0</v>
      </c>
      <c r="BJ354" s="420">
        <f>G354*H354</f>
        <v>0</v>
      </c>
      <c r="BK354" s="420"/>
      <c r="BL354" s="420"/>
    </row>
    <row r="355" spans="1:64" ht="15" customHeight="1">
      <c r="A355" s="423"/>
      <c r="D355" s="424" t="s">
        <v>1475</v>
      </c>
      <c r="E355" s="424" t="s">
        <v>654</v>
      </c>
      <c r="G355" s="425">
        <v>15043.020100000002</v>
      </c>
      <c r="N355" s="426"/>
    </row>
    <row r="356" spans="1:64" ht="15" customHeight="1">
      <c r="A356" s="401" t="s">
        <v>1067</v>
      </c>
      <c r="B356" s="402" t="s">
        <v>654</v>
      </c>
      <c r="C356" s="402" t="s">
        <v>1068</v>
      </c>
      <c r="D356" s="440" t="s">
        <v>1069</v>
      </c>
      <c r="E356" s="440"/>
      <c r="F356" s="402" t="s">
        <v>10</v>
      </c>
      <c r="G356" s="420">
        <v>791.73789999999997</v>
      </c>
      <c r="H356" s="420"/>
      <c r="I356" s="420">
        <f>G356*AO356</f>
        <v>0</v>
      </c>
      <c r="J356" s="420">
        <f>G356*AP356</f>
        <v>0</v>
      </c>
      <c r="K356" s="420">
        <f>G356*H356</f>
        <v>0</v>
      </c>
      <c r="L356" s="420">
        <v>0</v>
      </c>
      <c r="M356" s="420">
        <f>G356*L356</f>
        <v>0</v>
      </c>
      <c r="N356" s="421" t="s">
        <v>1358</v>
      </c>
      <c r="Z356" s="420">
        <f>IF(AQ356="5",BJ356,0)</f>
        <v>0</v>
      </c>
      <c r="AB356" s="420">
        <f>IF(AQ356="1",BH356,0)</f>
        <v>0</v>
      </c>
      <c r="AC356" s="420">
        <f>IF(AQ356="1",BI356,0)</f>
        <v>0</v>
      </c>
      <c r="AD356" s="420">
        <f>IF(AQ356="7",BH356,0)</f>
        <v>0</v>
      </c>
      <c r="AE356" s="420">
        <f>IF(AQ356="7",BI356,0)</f>
        <v>0</v>
      </c>
      <c r="AF356" s="420">
        <f>IF(AQ356="2",BH356,0)</f>
        <v>0</v>
      </c>
      <c r="AG356" s="420">
        <f>IF(AQ356="2",BI356,0)</f>
        <v>0</v>
      </c>
      <c r="AH356" s="420">
        <f>IF(AQ356="0",BJ356,0)</f>
        <v>0</v>
      </c>
      <c r="AI356" s="408" t="s">
        <v>654</v>
      </c>
      <c r="AJ356" s="420">
        <f>IF(AN356=0,K356,0)</f>
        <v>0</v>
      </c>
      <c r="AK356" s="420">
        <f>IF(AN356=15,K356,0)</f>
        <v>0</v>
      </c>
      <c r="AL356" s="420">
        <f>IF(AN356=21,K356,0)</f>
        <v>0</v>
      </c>
      <c r="AN356" s="420">
        <v>21</v>
      </c>
      <c r="AO356" s="420">
        <f>H356*0</f>
        <v>0</v>
      </c>
      <c r="AP356" s="420">
        <f>H356*(1-0)</f>
        <v>0</v>
      </c>
      <c r="AQ356" s="422" t="s">
        <v>680</v>
      </c>
      <c r="AV356" s="420">
        <f>AW356+AX356</f>
        <v>0</v>
      </c>
      <c r="AW356" s="420">
        <f>G356*AO356</f>
        <v>0</v>
      </c>
      <c r="AX356" s="420">
        <f>G356*AP356</f>
        <v>0</v>
      </c>
      <c r="AY356" s="422" t="s">
        <v>1058</v>
      </c>
      <c r="AZ356" s="422" t="s">
        <v>1023</v>
      </c>
      <c r="BA356" s="408" t="s">
        <v>662</v>
      </c>
      <c r="BC356" s="420">
        <f>AW356+AX356</f>
        <v>0</v>
      </c>
      <c r="BD356" s="420">
        <f>H356/(100-BE356)*100</f>
        <v>0</v>
      </c>
      <c r="BE356" s="420">
        <v>0</v>
      </c>
      <c r="BF356" s="420">
        <f>M356</f>
        <v>0</v>
      </c>
      <c r="BH356" s="420">
        <f>G356*AO356</f>
        <v>0</v>
      </c>
      <c r="BI356" s="420">
        <f>G356*AP356</f>
        <v>0</v>
      </c>
      <c r="BJ356" s="420">
        <f>G356*H356</f>
        <v>0</v>
      </c>
      <c r="BK356" s="420"/>
      <c r="BL356" s="420"/>
    </row>
    <row r="357" spans="1:64" ht="15" customHeight="1">
      <c r="A357" s="423"/>
      <c r="D357" s="424" t="s">
        <v>1474</v>
      </c>
      <c r="E357" s="424" t="s">
        <v>654</v>
      </c>
      <c r="G357" s="425">
        <v>791.73790000000008</v>
      </c>
      <c r="N357" s="426"/>
    </row>
    <row r="358" spans="1:64" ht="15" customHeight="1">
      <c r="A358" s="416" t="s">
        <v>654</v>
      </c>
      <c r="B358" s="417" t="s">
        <v>654</v>
      </c>
      <c r="C358" s="417" t="s">
        <v>1071</v>
      </c>
      <c r="D358" s="455" t="s">
        <v>1072</v>
      </c>
      <c r="E358" s="455"/>
      <c r="F358" s="418" t="s">
        <v>608</v>
      </c>
      <c r="G358" s="418" t="s">
        <v>608</v>
      </c>
      <c r="H358" s="418"/>
      <c r="I358" s="400">
        <f>SUM(I359:I362)</f>
        <v>0</v>
      </c>
      <c r="J358" s="400">
        <f>SUM(J359:J362)</f>
        <v>0</v>
      </c>
      <c r="K358" s="400">
        <f>SUM(K359:K362)</f>
        <v>0</v>
      </c>
      <c r="L358" s="408" t="s">
        <v>654</v>
      </c>
      <c r="M358" s="400">
        <f>SUM(M359:M362)</f>
        <v>0</v>
      </c>
      <c r="N358" s="419" t="s">
        <v>654</v>
      </c>
      <c r="AI358" s="408" t="s">
        <v>654</v>
      </c>
      <c r="AS358" s="400">
        <f>SUM(AJ359:AJ362)</f>
        <v>0</v>
      </c>
      <c r="AT358" s="400">
        <f>SUM(AK359:AK362)</f>
        <v>0</v>
      </c>
      <c r="AU358" s="400">
        <f>SUM(AL359:AL362)</f>
        <v>0</v>
      </c>
    </row>
    <row r="359" spans="1:64" ht="15" customHeight="1">
      <c r="A359" s="401" t="s">
        <v>1070</v>
      </c>
      <c r="B359" s="402" t="s">
        <v>654</v>
      </c>
      <c r="C359" s="402" t="s">
        <v>1074</v>
      </c>
      <c r="D359" s="440" t="s">
        <v>1075</v>
      </c>
      <c r="E359" s="440"/>
      <c r="F359" s="402" t="s">
        <v>1076</v>
      </c>
      <c r="G359" s="420">
        <v>3.25</v>
      </c>
      <c r="H359" s="420"/>
      <c r="I359" s="420">
        <f>G359*AO359</f>
        <v>0</v>
      </c>
      <c r="J359" s="420">
        <f>G359*AP359</f>
        <v>0</v>
      </c>
      <c r="K359" s="420">
        <f>G359*H359</f>
        <v>0</v>
      </c>
      <c r="L359" s="420">
        <v>0</v>
      </c>
      <c r="M359" s="420">
        <f>G359*L359</f>
        <v>0</v>
      </c>
      <c r="N359" s="421" t="s">
        <v>654</v>
      </c>
      <c r="Z359" s="420">
        <f>IF(AQ359="5",BJ359,0)</f>
        <v>0</v>
      </c>
      <c r="AB359" s="420">
        <f>IF(AQ359="1",BH359,0)</f>
        <v>0</v>
      </c>
      <c r="AC359" s="420">
        <f>IF(AQ359="1",BI359,0)</f>
        <v>0</v>
      </c>
      <c r="AD359" s="420">
        <f>IF(AQ359="7",BH359,0)</f>
        <v>0</v>
      </c>
      <c r="AE359" s="420">
        <f>IF(AQ359="7",BI359,0)</f>
        <v>0</v>
      </c>
      <c r="AF359" s="420">
        <f>IF(AQ359="2",BH359,0)</f>
        <v>0</v>
      </c>
      <c r="AG359" s="420">
        <f>IF(AQ359="2",BI359,0)</f>
        <v>0</v>
      </c>
      <c r="AH359" s="420">
        <f>IF(AQ359="0",BJ359,0)</f>
        <v>0</v>
      </c>
      <c r="AI359" s="408" t="s">
        <v>654</v>
      </c>
      <c r="AJ359" s="420">
        <f>IF(AN359=0,K359,0)</f>
        <v>0</v>
      </c>
      <c r="AK359" s="420">
        <f>IF(AN359=15,K359,0)</f>
        <v>0</v>
      </c>
      <c r="AL359" s="420">
        <f>IF(AN359=21,K359,0)</f>
        <v>0</v>
      </c>
      <c r="AN359" s="420">
        <v>21</v>
      </c>
      <c r="AO359" s="420">
        <f>H359*0</f>
        <v>0</v>
      </c>
      <c r="AP359" s="420">
        <f>H359*(1-0)</f>
        <v>0</v>
      </c>
      <c r="AQ359" s="422" t="s">
        <v>657</v>
      </c>
      <c r="AV359" s="420">
        <f>AW359+AX359</f>
        <v>0</v>
      </c>
      <c r="AW359" s="420">
        <f>G359*AO359</f>
        <v>0</v>
      </c>
      <c r="AX359" s="420">
        <f>G359*AP359</f>
        <v>0</v>
      </c>
      <c r="AY359" s="422" t="s">
        <v>1077</v>
      </c>
      <c r="AZ359" s="422" t="s">
        <v>661</v>
      </c>
      <c r="BA359" s="408" t="s">
        <v>662</v>
      </c>
      <c r="BC359" s="420">
        <f>AW359+AX359</f>
        <v>0</v>
      </c>
      <c r="BD359" s="420">
        <f>H359/(100-BE359)*100</f>
        <v>0</v>
      </c>
      <c r="BE359" s="420">
        <v>0</v>
      </c>
      <c r="BF359" s="420">
        <f>M359</f>
        <v>0</v>
      </c>
      <c r="BH359" s="420">
        <f>G359*AO359</f>
        <v>0</v>
      </c>
      <c r="BI359" s="420">
        <f>G359*AP359</f>
        <v>0</v>
      </c>
      <c r="BJ359" s="420">
        <f>G359*H359</f>
        <v>0</v>
      </c>
      <c r="BK359" s="420"/>
      <c r="BL359" s="420"/>
    </row>
    <row r="360" spans="1:64" ht="15" customHeight="1">
      <c r="A360" s="401" t="s">
        <v>1073</v>
      </c>
      <c r="B360" s="402" t="s">
        <v>654</v>
      </c>
      <c r="C360" s="402" t="s">
        <v>1079</v>
      </c>
      <c r="D360" s="440" t="s">
        <v>1080</v>
      </c>
      <c r="E360" s="440"/>
      <c r="F360" s="402" t="s">
        <v>1076</v>
      </c>
      <c r="G360" s="420">
        <v>2.35</v>
      </c>
      <c r="H360" s="420"/>
      <c r="I360" s="420">
        <f>G360*AO360</f>
        <v>0</v>
      </c>
      <c r="J360" s="420">
        <f>G360*AP360</f>
        <v>0</v>
      </c>
      <c r="K360" s="420">
        <f>G360*H360</f>
        <v>0</v>
      </c>
      <c r="L360" s="420">
        <v>0</v>
      </c>
      <c r="M360" s="420">
        <f>G360*L360</f>
        <v>0</v>
      </c>
      <c r="N360" s="421" t="s">
        <v>654</v>
      </c>
      <c r="Z360" s="420">
        <f>IF(AQ360="5",BJ360,0)</f>
        <v>0</v>
      </c>
      <c r="AB360" s="420">
        <f>IF(AQ360="1",BH360,0)</f>
        <v>0</v>
      </c>
      <c r="AC360" s="420">
        <f>IF(AQ360="1",BI360,0)</f>
        <v>0</v>
      </c>
      <c r="AD360" s="420">
        <f>IF(AQ360="7",BH360,0)</f>
        <v>0</v>
      </c>
      <c r="AE360" s="420">
        <f>IF(AQ360="7",BI360,0)</f>
        <v>0</v>
      </c>
      <c r="AF360" s="420">
        <f>IF(AQ360="2",BH360,0)</f>
        <v>0</v>
      </c>
      <c r="AG360" s="420">
        <f>IF(AQ360="2",BI360,0)</f>
        <v>0</v>
      </c>
      <c r="AH360" s="420">
        <f>IF(AQ360="0",BJ360,0)</f>
        <v>0</v>
      </c>
      <c r="AI360" s="408" t="s">
        <v>654</v>
      </c>
      <c r="AJ360" s="420">
        <f>IF(AN360=0,K360,0)</f>
        <v>0</v>
      </c>
      <c r="AK360" s="420">
        <f>IF(AN360=15,K360,0)</f>
        <v>0</v>
      </c>
      <c r="AL360" s="420">
        <f>IF(AN360=21,K360,0)</f>
        <v>0</v>
      </c>
      <c r="AN360" s="420">
        <v>21</v>
      </c>
      <c r="AO360" s="420">
        <f>H360*0</f>
        <v>0</v>
      </c>
      <c r="AP360" s="420">
        <f>H360*(1-0)</f>
        <v>0</v>
      </c>
      <c r="AQ360" s="422" t="s">
        <v>657</v>
      </c>
      <c r="AV360" s="420">
        <f>AW360+AX360</f>
        <v>0</v>
      </c>
      <c r="AW360" s="420">
        <f>G360*AO360</f>
        <v>0</v>
      </c>
      <c r="AX360" s="420">
        <f>G360*AP360</f>
        <v>0</v>
      </c>
      <c r="AY360" s="422" t="s">
        <v>1077</v>
      </c>
      <c r="AZ360" s="422" t="s">
        <v>661</v>
      </c>
      <c r="BA360" s="408" t="s">
        <v>662</v>
      </c>
      <c r="BC360" s="420">
        <f>AW360+AX360</f>
        <v>0</v>
      </c>
      <c r="BD360" s="420">
        <f>H360/(100-BE360)*100</f>
        <v>0</v>
      </c>
      <c r="BE360" s="420">
        <v>0</v>
      </c>
      <c r="BF360" s="420">
        <f>M360</f>
        <v>0</v>
      </c>
      <c r="BH360" s="420">
        <f>G360*AO360</f>
        <v>0</v>
      </c>
      <c r="BI360" s="420">
        <f>G360*AP360</f>
        <v>0</v>
      </c>
      <c r="BJ360" s="420">
        <f>G360*H360</f>
        <v>0</v>
      </c>
      <c r="BK360" s="420"/>
      <c r="BL360" s="420"/>
    </row>
    <row r="361" spans="1:64" ht="15" customHeight="1">
      <c r="A361" s="401" t="s">
        <v>1078</v>
      </c>
      <c r="B361" s="402" t="s">
        <v>654</v>
      </c>
      <c r="C361" s="402" t="s">
        <v>1082</v>
      </c>
      <c r="D361" s="440" t="s">
        <v>1083</v>
      </c>
      <c r="E361" s="440"/>
      <c r="F361" s="402" t="s">
        <v>1076</v>
      </c>
      <c r="G361" s="420">
        <v>1.6</v>
      </c>
      <c r="H361" s="420"/>
      <c r="I361" s="420">
        <f>G361*AO361</f>
        <v>0</v>
      </c>
      <c r="J361" s="420">
        <f>G361*AP361</f>
        <v>0</v>
      </c>
      <c r="K361" s="420">
        <f>G361*H361</f>
        <v>0</v>
      </c>
      <c r="L361" s="420">
        <v>0</v>
      </c>
      <c r="M361" s="420">
        <f>G361*L361</f>
        <v>0</v>
      </c>
      <c r="N361" s="421" t="s">
        <v>654</v>
      </c>
      <c r="Z361" s="420">
        <f>IF(AQ361="5",BJ361,0)</f>
        <v>0</v>
      </c>
      <c r="AB361" s="420">
        <f>IF(AQ361="1",BH361,0)</f>
        <v>0</v>
      </c>
      <c r="AC361" s="420">
        <f>IF(AQ361="1",BI361,0)</f>
        <v>0</v>
      </c>
      <c r="AD361" s="420">
        <f>IF(AQ361="7",BH361,0)</f>
        <v>0</v>
      </c>
      <c r="AE361" s="420">
        <f>IF(AQ361="7",BI361,0)</f>
        <v>0</v>
      </c>
      <c r="AF361" s="420">
        <f>IF(AQ361="2",BH361,0)</f>
        <v>0</v>
      </c>
      <c r="AG361" s="420">
        <f>IF(AQ361="2",BI361,0)</f>
        <v>0</v>
      </c>
      <c r="AH361" s="420">
        <f>IF(AQ361="0",BJ361,0)</f>
        <v>0</v>
      </c>
      <c r="AI361" s="408" t="s">
        <v>654</v>
      </c>
      <c r="AJ361" s="420">
        <f>IF(AN361=0,K361,0)</f>
        <v>0</v>
      </c>
      <c r="AK361" s="420">
        <f>IF(AN361=15,K361,0)</f>
        <v>0</v>
      </c>
      <c r="AL361" s="420">
        <f>IF(AN361=21,K361,0)</f>
        <v>0</v>
      </c>
      <c r="AN361" s="420">
        <v>21</v>
      </c>
      <c r="AO361" s="420">
        <f>H361*0</f>
        <v>0</v>
      </c>
      <c r="AP361" s="420">
        <f>H361*(1-0)</f>
        <v>0</v>
      </c>
      <c r="AQ361" s="422" t="s">
        <v>657</v>
      </c>
      <c r="AV361" s="420">
        <f>AW361+AX361</f>
        <v>0</v>
      </c>
      <c r="AW361" s="420">
        <f>G361*AO361</f>
        <v>0</v>
      </c>
      <c r="AX361" s="420">
        <f>G361*AP361</f>
        <v>0</v>
      </c>
      <c r="AY361" s="422" t="s">
        <v>1077</v>
      </c>
      <c r="AZ361" s="422" t="s">
        <v>661</v>
      </c>
      <c r="BA361" s="408" t="s">
        <v>662</v>
      </c>
      <c r="BC361" s="420">
        <f>AW361+AX361</f>
        <v>0</v>
      </c>
      <c r="BD361" s="420">
        <f>H361/(100-BE361)*100</f>
        <v>0</v>
      </c>
      <c r="BE361" s="420">
        <v>0</v>
      </c>
      <c r="BF361" s="420">
        <f>M361</f>
        <v>0</v>
      </c>
      <c r="BH361" s="420">
        <f>G361*AO361</f>
        <v>0</v>
      </c>
      <c r="BI361" s="420">
        <f>G361*AP361</f>
        <v>0</v>
      </c>
      <c r="BJ361" s="420">
        <f>G361*H361</f>
        <v>0</v>
      </c>
      <c r="BK361" s="420"/>
      <c r="BL361" s="420"/>
    </row>
    <row r="362" spans="1:64" ht="15" customHeight="1">
      <c r="A362" s="427" t="s">
        <v>1081</v>
      </c>
      <c r="B362" s="428" t="s">
        <v>654</v>
      </c>
      <c r="C362" s="428" t="s">
        <v>1085</v>
      </c>
      <c r="D362" s="456" t="s">
        <v>1086</v>
      </c>
      <c r="E362" s="456"/>
      <c r="F362" s="428" t="s">
        <v>1076</v>
      </c>
      <c r="G362" s="429">
        <v>1.5</v>
      </c>
      <c r="H362" s="429"/>
      <c r="I362" s="429">
        <f>G362*AO362</f>
        <v>0</v>
      </c>
      <c r="J362" s="429">
        <f>G362*AP362</f>
        <v>0</v>
      </c>
      <c r="K362" s="429">
        <f>G362*H362</f>
        <v>0</v>
      </c>
      <c r="L362" s="429">
        <v>0</v>
      </c>
      <c r="M362" s="429">
        <f>G362*L362</f>
        <v>0</v>
      </c>
      <c r="N362" s="430" t="s">
        <v>654</v>
      </c>
      <c r="Z362" s="420">
        <f>IF(AQ362="5",BJ362,0)</f>
        <v>0</v>
      </c>
      <c r="AB362" s="420">
        <f>IF(AQ362="1",BH362,0)</f>
        <v>0</v>
      </c>
      <c r="AC362" s="420">
        <f>IF(AQ362="1",BI362,0)</f>
        <v>0</v>
      </c>
      <c r="AD362" s="420">
        <f>IF(AQ362="7",BH362,0)</f>
        <v>0</v>
      </c>
      <c r="AE362" s="420">
        <f>IF(AQ362="7",BI362,0)</f>
        <v>0</v>
      </c>
      <c r="AF362" s="420">
        <f>IF(AQ362="2",BH362,0)</f>
        <v>0</v>
      </c>
      <c r="AG362" s="420">
        <f>IF(AQ362="2",BI362,0)</f>
        <v>0</v>
      </c>
      <c r="AH362" s="420">
        <f>IF(AQ362="0",BJ362,0)</f>
        <v>0</v>
      </c>
      <c r="AI362" s="408" t="s">
        <v>654</v>
      </c>
      <c r="AJ362" s="420">
        <f>IF(AN362=0,K362,0)</f>
        <v>0</v>
      </c>
      <c r="AK362" s="420">
        <f>IF(AN362=15,K362,0)</f>
        <v>0</v>
      </c>
      <c r="AL362" s="420">
        <f>IF(AN362=21,K362,0)</f>
        <v>0</v>
      </c>
      <c r="AN362" s="420">
        <v>21</v>
      </c>
      <c r="AO362" s="420">
        <f>H362*0</f>
        <v>0</v>
      </c>
      <c r="AP362" s="420">
        <f>H362*(1-0)</f>
        <v>0</v>
      </c>
      <c r="AQ362" s="422" t="s">
        <v>657</v>
      </c>
      <c r="AV362" s="420">
        <f>AW362+AX362</f>
        <v>0</v>
      </c>
      <c r="AW362" s="420">
        <f>G362*AO362</f>
        <v>0</v>
      </c>
      <c r="AX362" s="420">
        <f>G362*AP362</f>
        <v>0</v>
      </c>
      <c r="AY362" s="422" t="s">
        <v>1077</v>
      </c>
      <c r="AZ362" s="422" t="s">
        <v>661</v>
      </c>
      <c r="BA362" s="408" t="s">
        <v>662</v>
      </c>
      <c r="BC362" s="420">
        <f>AW362+AX362</f>
        <v>0</v>
      </c>
      <c r="BD362" s="420">
        <f>H362/(100-BE362)*100</f>
        <v>0</v>
      </c>
      <c r="BE362" s="420">
        <v>0</v>
      </c>
      <c r="BF362" s="420">
        <f>M362</f>
        <v>0</v>
      </c>
      <c r="BH362" s="420">
        <f>G362*AO362</f>
        <v>0</v>
      </c>
      <c r="BI362" s="420">
        <f>G362*AP362</f>
        <v>0</v>
      </c>
      <c r="BJ362" s="420">
        <f>G362*H362</f>
        <v>0</v>
      </c>
      <c r="BK362" s="420"/>
      <c r="BL362" s="420"/>
    </row>
    <row r="363" spans="1:64" ht="15" customHeight="1">
      <c r="I363" s="442" t="s">
        <v>1087</v>
      </c>
      <c r="J363" s="442"/>
      <c r="K363" s="431">
        <f>K12+K17+K48+K70+K88+K112+K146+K151+K154+K161+K166+K178+K187+K196+K199+K210+K260+K298+K303+K322+K325+K328+K338+K343+K346+K349+K358</f>
        <v>0</v>
      </c>
    </row>
    <row r="364" spans="1:64" ht="15" customHeight="1">
      <c r="A364" s="432" t="s">
        <v>99</v>
      </c>
    </row>
    <row r="365" spans="1:64" ht="54" customHeight="1">
      <c r="A365" s="447" t="s">
        <v>1088</v>
      </c>
      <c r="B365" s="440"/>
      <c r="C365" s="440"/>
      <c r="D365" s="440"/>
      <c r="E365" s="440"/>
      <c r="F365" s="440"/>
      <c r="G365" s="440"/>
      <c r="H365" s="440"/>
      <c r="I365" s="440"/>
      <c r="J365" s="440"/>
      <c r="K365" s="440"/>
      <c r="L365" s="440"/>
      <c r="M365" s="440"/>
      <c r="N365" s="440"/>
    </row>
  </sheetData>
  <mergeCells count="166">
    <mergeCell ref="D362:E362"/>
    <mergeCell ref="I363:J363"/>
    <mergeCell ref="A365:N365"/>
    <mergeCell ref="D354:E354"/>
    <mergeCell ref="D356:E356"/>
    <mergeCell ref="D358:E358"/>
    <mergeCell ref="D359:E359"/>
    <mergeCell ref="D360:E360"/>
    <mergeCell ref="D361:E361"/>
    <mergeCell ref="D344:E344"/>
    <mergeCell ref="D346:E346"/>
    <mergeCell ref="D347:E347"/>
    <mergeCell ref="D349:E349"/>
    <mergeCell ref="D350:E350"/>
    <mergeCell ref="D352:E352"/>
    <mergeCell ref="D329:E329"/>
    <mergeCell ref="D336:E336"/>
    <mergeCell ref="D338:E338"/>
    <mergeCell ref="D339:E339"/>
    <mergeCell ref="D341:E341"/>
    <mergeCell ref="D343:E343"/>
    <mergeCell ref="D320:E320"/>
    <mergeCell ref="D322:E322"/>
    <mergeCell ref="D323:E323"/>
    <mergeCell ref="D325:E325"/>
    <mergeCell ref="D326:E326"/>
    <mergeCell ref="D328:E328"/>
    <mergeCell ref="D306:E306"/>
    <mergeCell ref="D310:E310"/>
    <mergeCell ref="D312:E312"/>
    <mergeCell ref="D314:E314"/>
    <mergeCell ref="D316:E316"/>
    <mergeCell ref="D318:E318"/>
    <mergeCell ref="D296:E296"/>
    <mergeCell ref="D298:E298"/>
    <mergeCell ref="D299:E299"/>
    <mergeCell ref="D301:E301"/>
    <mergeCell ref="D303:E303"/>
    <mergeCell ref="D304:E304"/>
    <mergeCell ref="D277:E277"/>
    <mergeCell ref="D279:E279"/>
    <mergeCell ref="D282:E282"/>
    <mergeCell ref="D285:E285"/>
    <mergeCell ref="D288:E288"/>
    <mergeCell ref="D291:E291"/>
    <mergeCell ref="D260:E260"/>
    <mergeCell ref="D261:E261"/>
    <mergeCell ref="D267:E267"/>
    <mergeCell ref="D269:E269"/>
    <mergeCell ref="D272:E272"/>
    <mergeCell ref="D274:E274"/>
    <mergeCell ref="D248:E248"/>
    <mergeCell ref="D250:E250"/>
    <mergeCell ref="D252:E252"/>
    <mergeCell ref="D254:E254"/>
    <mergeCell ref="D256:E256"/>
    <mergeCell ref="D258:E258"/>
    <mergeCell ref="D226:E226"/>
    <mergeCell ref="D230:E230"/>
    <mergeCell ref="D234:E234"/>
    <mergeCell ref="D238:E238"/>
    <mergeCell ref="D240:E240"/>
    <mergeCell ref="D246:E246"/>
    <mergeCell ref="D206:E206"/>
    <mergeCell ref="D208:E208"/>
    <mergeCell ref="D210:E210"/>
    <mergeCell ref="D211:E211"/>
    <mergeCell ref="D218:E218"/>
    <mergeCell ref="D222:E222"/>
    <mergeCell ref="D194:E194"/>
    <mergeCell ref="D196:E196"/>
    <mergeCell ref="D197:E197"/>
    <mergeCell ref="D199:E199"/>
    <mergeCell ref="D200:E200"/>
    <mergeCell ref="D203:E203"/>
    <mergeCell ref="D183:E183"/>
    <mergeCell ref="D185:E185"/>
    <mergeCell ref="D187:E187"/>
    <mergeCell ref="D188:E188"/>
    <mergeCell ref="D190:E190"/>
    <mergeCell ref="D192:E192"/>
    <mergeCell ref="D166:E166"/>
    <mergeCell ref="D167:E167"/>
    <mergeCell ref="D176:E176"/>
    <mergeCell ref="D178:E178"/>
    <mergeCell ref="D179:E179"/>
    <mergeCell ref="D181:E181"/>
    <mergeCell ref="D154:E154"/>
    <mergeCell ref="D155:E155"/>
    <mergeCell ref="D157:E157"/>
    <mergeCell ref="D159:E159"/>
    <mergeCell ref="D161:E161"/>
    <mergeCell ref="D162:E162"/>
    <mergeCell ref="D144:E144"/>
    <mergeCell ref="D146:E146"/>
    <mergeCell ref="D147:E147"/>
    <mergeCell ref="D149:E149"/>
    <mergeCell ref="D151:E151"/>
    <mergeCell ref="D152:E152"/>
    <mergeCell ref="D112:E112"/>
    <mergeCell ref="D113:E113"/>
    <mergeCell ref="D118:E118"/>
    <mergeCell ref="D136:E136"/>
    <mergeCell ref="D140:E140"/>
    <mergeCell ref="D142:E142"/>
    <mergeCell ref="D97:E97"/>
    <mergeCell ref="D99:E99"/>
    <mergeCell ref="D102:E102"/>
    <mergeCell ref="D104:E104"/>
    <mergeCell ref="D108:E108"/>
    <mergeCell ref="D110:E110"/>
    <mergeCell ref="D77:E77"/>
    <mergeCell ref="D86:E86"/>
    <mergeCell ref="D88:E88"/>
    <mergeCell ref="D89:E89"/>
    <mergeCell ref="D91:E91"/>
    <mergeCell ref="D94:E94"/>
    <mergeCell ref="D62:E62"/>
    <mergeCell ref="D64:E64"/>
    <mergeCell ref="D70:E70"/>
    <mergeCell ref="D71:E71"/>
    <mergeCell ref="D73:E73"/>
    <mergeCell ref="D75:E75"/>
    <mergeCell ref="D43:E43"/>
    <mergeCell ref="D46:E46"/>
    <mergeCell ref="D48:E48"/>
    <mergeCell ref="D49:E49"/>
    <mergeCell ref="D51:E51"/>
    <mergeCell ref="D53:E53"/>
    <mergeCell ref="D15:E15"/>
    <mergeCell ref="D17:E17"/>
    <mergeCell ref="D18:E18"/>
    <mergeCell ref="D22:E22"/>
    <mergeCell ref="D26:E26"/>
    <mergeCell ref="D36:E36"/>
    <mergeCell ref="D10:E10"/>
    <mergeCell ref="I10:K10"/>
    <mergeCell ref="L10:M10"/>
    <mergeCell ref="D11:E11"/>
    <mergeCell ref="D12:E12"/>
    <mergeCell ref="D13:E13"/>
    <mergeCell ref="A8:C9"/>
    <mergeCell ref="D8:D9"/>
    <mergeCell ref="E8:G9"/>
    <mergeCell ref="H8:H9"/>
    <mergeCell ref="I8:I9"/>
    <mergeCell ref="J8:N9"/>
    <mergeCell ref="A6:C7"/>
    <mergeCell ref="D6:D7"/>
    <mergeCell ref="E6:G7"/>
    <mergeCell ref="H6:H7"/>
    <mergeCell ref="I6:I7"/>
    <mergeCell ref="J6:N7"/>
    <mergeCell ref="A4:C5"/>
    <mergeCell ref="D4:D5"/>
    <mergeCell ref="E4:G5"/>
    <mergeCell ref="H4:H5"/>
    <mergeCell ref="I4:I5"/>
    <mergeCell ref="J4:N5"/>
    <mergeCell ref="A1:N1"/>
    <mergeCell ref="A2:C3"/>
    <mergeCell ref="D2:D3"/>
    <mergeCell ref="E2:G3"/>
    <mergeCell ref="H2:H3"/>
    <mergeCell ref="I2:I3"/>
    <mergeCell ref="J2:N3"/>
  </mergeCells>
  <pageMargins left="0.39400000000000002" right="0.39400000000000002" top="0.59099999999999997" bottom="0.59099999999999997" header="0" footer="0"/>
  <pageSetup paperSize="0" firstPageNumber="0" fitToHeight="0" orientation="landscape" useFirstPageNumber="1" horizontalDpi="0" verticalDpi="0" copies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B23BF-EB30-4896-906B-9FE236862AB4}">
  <sheetPr>
    <pageSetUpPr fitToPage="1"/>
  </sheetPr>
  <dimension ref="A1:DQ174"/>
  <sheetViews>
    <sheetView topLeftCell="A66" zoomScale="112" zoomScaleNormal="112" zoomScaleSheetLayoutView="40" workbookViewId="0">
      <selection activeCell="F95" sqref="F95"/>
    </sheetView>
  </sheetViews>
  <sheetFormatPr defaultColWidth="10.6640625" defaultRowHeight="12"/>
  <cols>
    <col min="1" max="1" width="10.1640625" style="9" bestFit="1" customWidth="1"/>
    <col min="2" max="2" width="82.1640625" style="10" customWidth="1"/>
    <col min="3" max="3" width="11" style="11" customWidth="1"/>
    <col min="4" max="5" width="10.6640625" style="9"/>
    <col min="6" max="6" width="10.83203125" style="9" bestFit="1" customWidth="1"/>
    <col min="7" max="12" width="10.6640625" style="9"/>
    <col min="13" max="13" width="60" style="9" customWidth="1"/>
    <col min="14" max="16384" width="10.6640625" style="9"/>
  </cols>
  <sheetData>
    <row r="1" spans="1:6" s="4" customFormat="1" ht="12" customHeight="1">
      <c r="A1" s="132" t="s">
        <v>189</v>
      </c>
      <c r="B1" s="132"/>
      <c r="C1" s="132"/>
      <c r="D1" s="132"/>
      <c r="E1" s="457" t="s">
        <v>41</v>
      </c>
      <c r="F1" s="457"/>
    </row>
    <row r="2" spans="1:6" s="4" customFormat="1" ht="12" customHeight="1">
      <c r="A2" s="458" t="s">
        <v>296</v>
      </c>
      <c r="B2" s="458"/>
      <c r="C2" s="132"/>
      <c r="D2" s="162"/>
      <c r="E2" s="457" t="s">
        <v>42</v>
      </c>
      <c r="F2" s="457"/>
    </row>
    <row r="3" spans="1:6" s="4" customFormat="1">
      <c r="A3" s="175" t="s">
        <v>44</v>
      </c>
      <c r="B3" s="159"/>
      <c r="C3" s="159"/>
      <c r="D3" s="160"/>
      <c r="E3" s="159"/>
      <c r="F3" s="160" t="s">
        <v>43</v>
      </c>
    </row>
    <row r="4" spans="1:6">
      <c r="A4" s="132"/>
      <c r="B4" s="155"/>
      <c r="C4" s="152"/>
      <c r="D4" s="132"/>
      <c r="E4" s="132"/>
      <c r="F4" s="132"/>
    </row>
    <row r="5" spans="1:6" s="4" customFormat="1">
      <c r="A5" s="132"/>
      <c r="B5" s="132"/>
      <c r="C5" s="132"/>
      <c r="D5" s="132"/>
      <c r="E5" s="132"/>
      <c r="F5" s="132"/>
    </row>
    <row r="6" spans="1:6" s="4" customFormat="1">
      <c r="A6" s="132"/>
      <c r="B6" s="132"/>
      <c r="C6" s="132"/>
      <c r="D6" s="132"/>
      <c r="E6" s="132"/>
      <c r="F6" s="132"/>
    </row>
    <row r="7" spans="1:6" s="4" customFormat="1">
      <c r="A7" s="132"/>
      <c r="B7" s="132"/>
      <c r="C7" s="132"/>
      <c r="D7" s="132"/>
      <c r="E7" s="132"/>
      <c r="F7" s="132"/>
    </row>
    <row r="8" spans="1:6" s="4" customFormat="1">
      <c r="A8" s="132"/>
      <c r="B8" s="132"/>
      <c r="C8" s="132"/>
      <c r="D8" s="132"/>
      <c r="E8" s="132"/>
      <c r="F8" s="132"/>
    </row>
    <row r="9" spans="1:6">
      <c r="A9" s="132"/>
      <c r="B9" s="155"/>
      <c r="C9" s="152"/>
      <c r="D9" s="132"/>
      <c r="E9" s="132"/>
      <c r="F9" s="132"/>
    </row>
    <row r="10" spans="1:6">
      <c r="A10" s="132"/>
      <c r="B10" s="155"/>
      <c r="C10" s="152"/>
      <c r="D10" s="132"/>
      <c r="E10" s="132"/>
      <c r="F10" s="132"/>
    </row>
    <row r="11" spans="1:6">
      <c r="A11" s="132"/>
      <c r="B11" s="132"/>
      <c r="C11" s="132"/>
      <c r="D11" s="132"/>
      <c r="E11" s="132"/>
      <c r="F11" s="132"/>
    </row>
    <row r="12" spans="1:6">
      <c r="A12" s="132"/>
      <c r="B12" s="132"/>
      <c r="C12" s="132"/>
      <c r="D12" s="132"/>
      <c r="E12" s="132"/>
      <c r="F12" s="132"/>
    </row>
    <row r="13" spans="1:6">
      <c r="A13" s="132"/>
      <c r="B13" s="132"/>
      <c r="C13" s="132"/>
      <c r="D13" s="132"/>
      <c r="E13" s="132"/>
      <c r="F13" s="132"/>
    </row>
    <row r="14" spans="1:6">
      <c r="A14" s="132"/>
      <c r="B14" s="132"/>
      <c r="C14" s="132"/>
      <c r="D14" s="132"/>
      <c r="E14" s="132"/>
      <c r="F14" s="132"/>
    </row>
    <row r="15" spans="1:6" s="13" customFormat="1">
      <c r="A15" s="176"/>
      <c r="B15" s="176"/>
      <c r="C15" s="176"/>
      <c r="D15" s="176"/>
      <c r="E15" s="176"/>
      <c r="F15" s="176"/>
    </row>
    <row r="16" spans="1:6" s="13" customFormat="1">
      <c r="A16" s="176"/>
      <c r="B16" s="176"/>
      <c r="C16" s="176"/>
      <c r="D16" s="176"/>
      <c r="E16" s="176"/>
      <c r="F16" s="176"/>
    </row>
    <row r="17" spans="1:6" s="13" customFormat="1">
      <c r="A17" s="176"/>
      <c r="B17" s="176"/>
      <c r="C17" s="176"/>
      <c r="D17" s="176"/>
      <c r="E17" s="176"/>
      <c r="F17" s="176"/>
    </row>
    <row r="18" spans="1:6">
      <c r="A18" s="132"/>
      <c r="B18" s="132"/>
      <c r="C18" s="132"/>
      <c r="D18" s="132"/>
      <c r="E18" s="132"/>
      <c r="F18" s="132"/>
    </row>
    <row r="19" spans="1:6">
      <c r="A19" s="132"/>
      <c r="B19" s="132"/>
      <c r="C19" s="132"/>
      <c r="D19" s="132"/>
      <c r="E19" s="132"/>
      <c r="F19" s="132"/>
    </row>
    <row r="20" spans="1:6">
      <c r="A20" s="132"/>
      <c r="B20" s="132"/>
      <c r="C20" s="132"/>
      <c r="D20" s="132"/>
      <c r="E20" s="132"/>
      <c r="F20" s="132"/>
    </row>
    <row r="21" spans="1:6">
      <c r="A21" s="132"/>
      <c r="B21" s="132"/>
      <c r="C21" s="132"/>
      <c r="D21" s="132"/>
      <c r="E21" s="132"/>
      <c r="F21" s="132"/>
    </row>
    <row r="22" spans="1:6">
      <c r="A22" s="132"/>
      <c r="B22" s="132"/>
      <c r="C22" s="132"/>
      <c r="D22" s="132"/>
      <c r="E22" s="132"/>
      <c r="F22" s="132"/>
    </row>
    <row r="23" spans="1:6">
      <c r="A23" s="132"/>
      <c r="B23" s="132"/>
      <c r="C23" s="132"/>
      <c r="D23" s="132"/>
      <c r="E23" s="132"/>
      <c r="F23" s="132"/>
    </row>
    <row r="24" spans="1:6">
      <c r="A24" s="132"/>
      <c r="B24" s="132"/>
      <c r="C24" s="132"/>
      <c r="D24" s="132"/>
      <c r="E24" s="132"/>
      <c r="F24" s="132"/>
    </row>
    <row r="25" spans="1:6">
      <c r="A25" s="132"/>
      <c r="B25" s="132"/>
      <c r="C25" s="132"/>
      <c r="D25" s="132"/>
      <c r="E25" s="132"/>
      <c r="F25" s="132"/>
    </row>
    <row r="26" spans="1:6">
      <c r="A26" s="132"/>
      <c r="B26" s="132"/>
      <c r="C26" s="132"/>
      <c r="D26" s="132"/>
      <c r="E26" s="132"/>
      <c r="F26" s="132"/>
    </row>
    <row r="27" spans="1:6">
      <c r="A27" s="132"/>
      <c r="B27" s="132"/>
      <c r="C27" s="132"/>
      <c r="D27" s="132"/>
      <c r="E27" s="132"/>
      <c r="F27" s="132"/>
    </row>
    <row r="28" spans="1:6">
      <c r="A28" s="132"/>
      <c r="B28" s="132"/>
      <c r="C28" s="132"/>
      <c r="D28" s="132"/>
      <c r="E28" s="132"/>
      <c r="F28" s="132"/>
    </row>
    <row r="29" spans="1:6">
      <c r="A29" s="132"/>
      <c r="B29" s="132"/>
      <c r="C29" s="132"/>
      <c r="D29" s="132"/>
      <c r="E29" s="132"/>
      <c r="F29" s="132"/>
    </row>
    <row r="30" spans="1:6">
      <c r="A30" s="132"/>
      <c r="B30" s="132"/>
      <c r="C30" s="132"/>
      <c r="D30" s="132"/>
      <c r="E30" s="132"/>
      <c r="F30" s="132"/>
    </row>
    <row r="31" spans="1:6">
      <c r="A31" s="132"/>
      <c r="B31" s="132"/>
      <c r="C31" s="132"/>
      <c r="D31" s="132"/>
      <c r="E31" s="132"/>
      <c r="F31" s="132"/>
    </row>
    <row r="32" spans="1:6">
      <c r="A32" s="132"/>
      <c r="B32" s="132"/>
      <c r="C32" s="132"/>
      <c r="D32" s="132"/>
      <c r="E32" s="132"/>
      <c r="F32" s="132"/>
    </row>
    <row r="33" spans="1:6">
      <c r="A33" s="132"/>
      <c r="B33" s="132"/>
      <c r="C33" s="132"/>
      <c r="D33" s="132"/>
      <c r="E33" s="132"/>
      <c r="F33" s="132"/>
    </row>
    <row r="34" spans="1:6" ht="13.5" customHeight="1">
      <c r="A34" s="132"/>
      <c r="B34" s="459"/>
      <c r="C34" s="459"/>
      <c r="D34" s="459"/>
      <c r="E34" s="132"/>
      <c r="F34" s="132"/>
    </row>
    <row r="35" spans="1:6">
      <c r="A35" s="132"/>
      <c r="B35" s="132"/>
      <c r="C35" s="132"/>
      <c r="D35" s="132"/>
      <c r="E35" s="132"/>
      <c r="F35" s="132"/>
    </row>
    <row r="36" spans="1:6" ht="20.25">
      <c r="A36" s="132"/>
      <c r="B36" s="178" t="s">
        <v>190</v>
      </c>
      <c r="C36" s="132"/>
      <c r="D36" s="132"/>
      <c r="E36" s="132"/>
      <c r="F36" s="132"/>
    </row>
    <row r="37" spans="1:6">
      <c r="A37" s="132"/>
      <c r="B37" s="132"/>
      <c r="C37" s="132"/>
      <c r="D37" s="132"/>
      <c r="E37" s="132"/>
      <c r="F37" s="132"/>
    </row>
    <row r="38" spans="1:6" ht="18">
      <c r="A38" s="132"/>
      <c r="B38" s="179"/>
      <c r="C38" s="132"/>
      <c r="D38" s="132"/>
      <c r="E38" s="132"/>
      <c r="F38" s="132"/>
    </row>
    <row r="39" spans="1:6" ht="17.25" customHeight="1">
      <c r="A39" s="177" t="s">
        <v>191</v>
      </c>
      <c r="B39" s="155"/>
      <c r="C39" s="177"/>
      <c r="D39" s="132"/>
      <c r="E39" s="132"/>
      <c r="F39" s="132"/>
    </row>
    <row r="40" spans="1:6">
      <c r="A40" s="180"/>
      <c r="B40" s="180"/>
      <c r="C40" s="154"/>
      <c r="D40" s="132"/>
      <c r="E40" s="132"/>
      <c r="F40" s="132"/>
    </row>
    <row r="41" spans="1:6">
      <c r="A41" s="180"/>
      <c r="B41" s="180"/>
      <c r="C41" s="154"/>
      <c r="D41" s="132"/>
      <c r="E41" s="132"/>
      <c r="F41" s="132"/>
    </row>
    <row r="42" spans="1:6">
      <c r="A42" s="180"/>
      <c r="B42" s="180"/>
      <c r="C42" s="154"/>
      <c r="D42" s="132"/>
      <c r="E42" s="132"/>
      <c r="F42" s="132"/>
    </row>
    <row r="43" spans="1:6">
      <c r="A43" s="180"/>
      <c r="B43" s="180"/>
      <c r="C43" s="154"/>
      <c r="D43" s="176"/>
      <c r="E43" s="176"/>
      <c r="F43" s="132"/>
    </row>
    <row r="44" spans="1:6">
      <c r="A44" s="181"/>
      <c r="B44" s="132"/>
      <c r="C44" s="155"/>
      <c r="D44" s="176"/>
      <c r="E44" s="176"/>
      <c r="F44" s="132"/>
    </row>
    <row r="45" spans="1:6" ht="12.75">
      <c r="A45" s="182"/>
      <c r="B45" s="183"/>
      <c r="C45" s="184"/>
      <c r="D45" s="184"/>
      <c r="E45" s="173"/>
      <c r="F45" s="132"/>
    </row>
    <row r="46" spans="1:6">
      <c r="A46" s="153"/>
      <c r="B46" s="185"/>
      <c r="C46" s="158"/>
      <c r="D46" s="132"/>
      <c r="E46" s="132"/>
      <c r="F46" s="132"/>
    </row>
    <row r="47" spans="1:6">
      <c r="A47" s="153"/>
      <c r="B47" s="185"/>
      <c r="C47" s="158"/>
      <c r="D47" s="132"/>
      <c r="E47" s="132"/>
      <c r="F47" s="132"/>
    </row>
    <row r="48" spans="1:6">
      <c r="A48" s="153"/>
      <c r="B48" s="185"/>
      <c r="C48" s="158"/>
      <c r="D48" s="132"/>
      <c r="E48" s="132"/>
      <c r="F48" s="132"/>
    </row>
    <row r="49" spans="1:17">
      <c r="A49" s="153"/>
      <c r="B49" s="185"/>
      <c r="C49" s="158"/>
      <c r="D49" s="132"/>
      <c r="E49" s="132"/>
      <c r="F49" s="132"/>
    </row>
    <row r="50" spans="1:17">
      <c r="A50" s="186"/>
      <c r="B50" s="187"/>
      <c r="C50" s="188"/>
      <c r="D50" s="132"/>
      <c r="E50" s="132"/>
      <c r="F50" s="132"/>
    </row>
    <row r="51" spans="1:17" ht="12.75">
      <c r="A51" s="189"/>
      <c r="B51" s="190" t="s">
        <v>295</v>
      </c>
      <c r="C51" s="165"/>
      <c r="D51" s="169"/>
      <c r="E51" s="191">
        <f>F95</f>
        <v>0</v>
      </c>
      <c r="F51" s="132"/>
    </row>
    <row r="52" spans="1:17" ht="14.25">
      <c r="A52" s="192"/>
      <c r="B52" s="155"/>
      <c r="C52" s="152"/>
      <c r="D52" s="132"/>
      <c r="E52" s="132"/>
      <c r="F52" s="132"/>
    </row>
    <row r="53" spans="1:17" ht="14.25">
      <c r="A53" s="193"/>
      <c r="B53" s="194" t="s">
        <v>55</v>
      </c>
      <c r="C53" s="165"/>
      <c r="D53" s="169"/>
      <c r="E53" s="191">
        <f>0.21*E51</f>
        <v>0</v>
      </c>
      <c r="F53" s="132"/>
    </row>
    <row r="54" spans="1:17" ht="14.25">
      <c r="A54" s="193"/>
      <c r="B54" s="155"/>
      <c r="C54" s="152"/>
      <c r="D54" s="132"/>
      <c r="E54" s="132"/>
      <c r="F54" s="132"/>
    </row>
    <row r="55" spans="1:17" ht="12.75">
      <c r="A55" s="132"/>
      <c r="B55" s="195" t="s">
        <v>56</v>
      </c>
      <c r="C55" s="165"/>
      <c r="D55" s="169"/>
      <c r="E55" s="191">
        <f>SUM(E51:E53)</f>
        <v>0</v>
      </c>
      <c r="F55" s="132"/>
    </row>
    <row r="56" spans="1:17">
      <c r="A56" s="132"/>
      <c r="B56" s="155"/>
      <c r="C56" s="152"/>
      <c r="D56" s="132"/>
      <c r="E56" s="132"/>
      <c r="F56" s="132"/>
    </row>
    <row r="57" spans="1:17">
      <c r="A57" s="132"/>
      <c r="B57" s="155"/>
      <c r="C57" s="152"/>
      <c r="D57" s="132"/>
      <c r="E57" s="132"/>
      <c r="F57" s="132"/>
    </row>
    <row r="58" spans="1:17">
      <c r="A58" s="132"/>
      <c r="B58" s="132"/>
      <c r="C58" s="152"/>
      <c r="D58" s="132"/>
      <c r="E58" s="132"/>
      <c r="F58" s="132"/>
    </row>
    <row r="59" spans="1:17">
      <c r="A59" s="132"/>
      <c r="B59" s="155"/>
      <c r="C59" s="152"/>
      <c r="D59" s="132"/>
      <c r="E59" s="132"/>
      <c r="F59" s="132"/>
    </row>
    <row r="60" spans="1:17">
      <c r="A60" s="132"/>
      <c r="B60" s="155"/>
      <c r="C60" s="152"/>
      <c r="D60" s="132"/>
      <c r="E60" s="132"/>
      <c r="F60" s="132"/>
    </row>
    <row r="61" spans="1:17">
      <c r="A61" s="132"/>
      <c r="B61" s="155"/>
      <c r="C61" s="152"/>
      <c r="D61" s="132"/>
      <c r="E61" s="132"/>
      <c r="F61" s="132"/>
    </row>
    <row r="62" spans="1:17">
      <c r="A62" s="180"/>
      <c r="B62" s="180"/>
      <c r="C62" s="153"/>
      <c r="D62" s="154"/>
      <c r="E62" s="154"/>
      <c r="F62" s="154"/>
      <c r="L62" s="196"/>
      <c r="M62" s="197"/>
      <c r="N62" s="196"/>
      <c r="O62" s="196"/>
      <c r="P62" s="196"/>
      <c r="Q62" s="198"/>
    </row>
    <row r="63" spans="1:17">
      <c r="A63" s="132"/>
      <c r="B63" s="132"/>
      <c r="C63" s="132"/>
      <c r="D63" s="132"/>
      <c r="E63" s="132"/>
      <c r="F63" s="132"/>
      <c r="L63" s="24"/>
      <c r="M63" s="199"/>
      <c r="N63" s="200"/>
      <c r="O63" s="200"/>
      <c r="P63" s="200"/>
      <c r="Q63" s="201"/>
    </row>
    <row r="64" spans="1:17">
      <c r="A64" s="132"/>
      <c r="B64" s="132"/>
      <c r="C64" s="132"/>
      <c r="D64" s="132"/>
      <c r="E64" s="132"/>
      <c r="F64" s="132"/>
      <c r="L64" s="24"/>
      <c r="M64" s="199"/>
      <c r="N64" s="200"/>
      <c r="O64" s="200"/>
      <c r="P64" s="200"/>
      <c r="Q64" s="200"/>
    </row>
    <row r="65" spans="1:17" ht="12.75" customHeight="1">
      <c r="A65" s="132"/>
      <c r="B65" s="132"/>
      <c r="C65" s="132"/>
      <c r="D65" s="132"/>
      <c r="E65" s="132"/>
      <c r="F65" s="132"/>
      <c r="L65" s="202"/>
      <c r="M65" s="203"/>
      <c r="N65" s="204"/>
      <c r="O65" s="20"/>
      <c r="P65" s="205"/>
      <c r="Q65" s="205"/>
    </row>
    <row r="66" spans="1:17" ht="12.75" customHeight="1">
      <c r="A66" s="132"/>
      <c r="B66" s="132"/>
      <c r="C66" s="132"/>
      <c r="D66" s="132"/>
      <c r="E66" s="132"/>
      <c r="F66" s="132"/>
      <c r="L66" s="202"/>
      <c r="M66" s="203"/>
      <c r="N66" s="204"/>
      <c r="O66" s="20"/>
      <c r="P66" s="205"/>
      <c r="Q66" s="205"/>
    </row>
    <row r="67" spans="1:17" ht="12.75" customHeight="1">
      <c r="A67" s="132"/>
      <c r="B67" s="132"/>
      <c r="C67" s="132"/>
      <c r="D67" s="132"/>
      <c r="E67" s="132"/>
      <c r="F67" s="132"/>
      <c r="L67" s="202"/>
      <c r="M67" s="203"/>
      <c r="N67" s="204"/>
      <c r="O67" s="20"/>
      <c r="P67" s="205"/>
      <c r="Q67" s="205"/>
    </row>
    <row r="68" spans="1:17">
      <c r="A68" s="132"/>
      <c r="B68" s="132"/>
      <c r="C68" s="132"/>
      <c r="D68" s="132"/>
      <c r="E68" s="132"/>
      <c r="F68" s="132"/>
      <c r="L68" s="202"/>
      <c r="M68" s="15"/>
      <c r="N68" s="204"/>
      <c r="O68" s="20"/>
      <c r="P68" s="206"/>
      <c r="Q68" s="205"/>
    </row>
    <row r="69" spans="1:17">
      <c r="A69" s="132"/>
      <c r="B69" s="132"/>
      <c r="C69" s="132"/>
      <c r="D69" s="132"/>
      <c r="E69" s="132"/>
      <c r="F69" s="132"/>
      <c r="L69" s="202"/>
      <c r="N69" s="204"/>
      <c r="O69" s="20"/>
      <c r="Q69" s="205"/>
    </row>
    <row r="70" spans="1:17">
      <c r="A70" s="132"/>
      <c r="B70" s="132"/>
      <c r="C70" s="132"/>
      <c r="D70" s="132"/>
      <c r="E70" s="132"/>
      <c r="F70" s="132"/>
      <c r="L70" s="202"/>
      <c r="M70" s="10"/>
      <c r="N70" s="204"/>
      <c r="O70" s="20"/>
      <c r="Q70" s="205"/>
    </row>
    <row r="71" spans="1:17">
      <c r="A71" s="132"/>
      <c r="B71" s="132"/>
      <c r="C71" s="132"/>
      <c r="D71" s="132"/>
      <c r="E71" s="132"/>
      <c r="F71" s="132"/>
      <c r="N71" s="204"/>
      <c r="O71" s="20"/>
      <c r="Q71" s="206"/>
    </row>
    <row r="72" spans="1:17">
      <c r="A72" s="132"/>
      <c r="B72" s="132"/>
      <c r="C72" s="132"/>
      <c r="D72" s="132"/>
      <c r="E72" s="132"/>
      <c r="F72" s="132"/>
      <c r="M72" s="199"/>
      <c r="N72" s="14"/>
      <c r="O72" s="14"/>
      <c r="P72" s="25"/>
      <c r="Q72" s="25"/>
    </row>
    <row r="73" spans="1:17">
      <c r="A73" s="132"/>
      <c r="B73" s="132"/>
      <c r="C73" s="132"/>
      <c r="D73" s="132"/>
      <c r="E73" s="132"/>
      <c r="F73" s="132"/>
      <c r="L73" s="20"/>
      <c r="M73" s="10"/>
      <c r="N73" s="14"/>
      <c r="O73" s="14"/>
      <c r="P73" s="25"/>
      <c r="Q73" s="207"/>
    </row>
    <row r="74" spans="1:17">
      <c r="A74" s="132"/>
      <c r="B74" s="132"/>
      <c r="C74" s="132"/>
      <c r="D74" s="132"/>
      <c r="E74" s="132"/>
      <c r="F74" s="132"/>
      <c r="L74" s="20"/>
      <c r="M74" s="10"/>
      <c r="N74" s="14"/>
      <c r="O74" s="14"/>
      <c r="P74" s="25"/>
      <c r="Q74" s="207"/>
    </row>
    <row r="75" spans="1:17">
      <c r="A75" s="132"/>
      <c r="B75" s="132"/>
      <c r="C75" s="132"/>
      <c r="D75" s="132"/>
      <c r="E75" s="132"/>
      <c r="F75" s="132"/>
      <c r="L75" s="20"/>
      <c r="M75" s="10"/>
      <c r="N75" s="204"/>
      <c r="O75" s="20"/>
      <c r="P75" s="207"/>
      <c r="Q75" s="207"/>
    </row>
    <row r="76" spans="1:17">
      <c r="A76" s="132"/>
      <c r="B76" s="132"/>
      <c r="C76" s="132"/>
      <c r="D76" s="132"/>
      <c r="E76" s="132"/>
      <c r="F76" s="132"/>
      <c r="L76" s="20"/>
      <c r="M76" s="10"/>
      <c r="N76" s="204"/>
      <c r="O76" s="20"/>
      <c r="P76" s="207"/>
      <c r="Q76" s="207"/>
    </row>
    <row r="77" spans="1:17">
      <c r="A77" s="132"/>
      <c r="B77" s="132"/>
      <c r="C77" s="132"/>
      <c r="D77" s="132"/>
      <c r="E77" s="132"/>
      <c r="F77" s="132"/>
      <c r="L77" s="20"/>
      <c r="M77" s="10"/>
      <c r="N77" s="204"/>
      <c r="O77" s="20"/>
      <c r="P77" s="207"/>
      <c r="Q77" s="207"/>
    </row>
    <row r="78" spans="1:17">
      <c r="A78" s="132"/>
      <c r="B78" s="132"/>
      <c r="C78" s="132"/>
      <c r="D78" s="132"/>
      <c r="E78" s="132"/>
      <c r="F78" s="132"/>
      <c r="L78" s="20"/>
      <c r="M78" s="10"/>
      <c r="N78" s="204"/>
      <c r="O78" s="20"/>
      <c r="P78" s="207"/>
      <c r="Q78" s="207"/>
    </row>
    <row r="79" spans="1:17">
      <c r="A79" s="132"/>
      <c r="B79" s="208" t="s">
        <v>192</v>
      </c>
      <c r="C79" s="132"/>
      <c r="D79" s="132"/>
      <c r="E79" s="132"/>
      <c r="F79" s="132"/>
      <c r="L79" s="20"/>
      <c r="M79" s="10"/>
      <c r="N79" s="14"/>
      <c r="O79" s="14"/>
      <c r="P79" s="14"/>
      <c r="Q79" s="14"/>
    </row>
    <row r="80" spans="1:17">
      <c r="A80" s="132"/>
      <c r="B80" s="132"/>
      <c r="C80" s="132"/>
      <c r="D80" s="132"/>
      <c r="E80" s="132"/>
      <c r="F80" s="132"/>
      <c r="L80" s="20"/>
      <c r="M80" s="10"/>
      <c r="N80" s="204"/>
      <c r="O80" s="20"/>
      <c r="P80" s="207"/>
      <c r="Q80" s="207"/>
    </row>
    <row r="81" spans="1:17">
      <c r="A81" s="132"/>
      <c r="B81" s="208" t="s">
        <v>193</v>
      </c>
      <c r="C81" s="132"/>
      <c r="D81" s="132"/>
      <c r="E81" s="132"/>
      <c r="F81" s="132"/>
      <c r="L81" s="20"/>
      <c r="M81" s="10"/>
      <c r="N81" s="204"/>
      <c r="O81" s="20"/>
      <c r="P81" s="207"/>
      <c r="Q81" s="207"/>
    </row>
    <row r="82" spans="1:17">
      <c r="A82" s="132"/>
      <c r="B82" s="132"/>
      <c r="C82" s="132"/>
      <c r="D82" s="132"/>
      <c r="E82" s="132"/>
      <c r="F82" s="132"/>
    </row>
    <row r="83" spans="1:17">
      <c r="A83" s="132"/>
      <c r="B83" s="132"/>
      <c r="C83" s="132"/>
      <c r="D83" s="132"/>
      <c r="E83" s="132"/>
      <c r="F83" s="132"/>
      <c r="L83" s="24"/>
      <c r="M83" s="199"/>
      <c r="N83" s="14"/>
      <c r="O83" s="14"/>
      <c r="P83" s="25"/>
      <c r="Q83" s="25"/>
    </row>
    <row r="84" spans="1:17">
      <c r="A84" s="132"/>
      <c r="B84" s="132"/>
      <c r="C84" s="132"/>
      <c r="D84" s="132"/>
      <c r="E84" s="132"/>
      <c r="F84" s="132"/>
      <c r="L84" s="20"/>
      <c r="M84" s="10"/>
      <c r="N84" s="204"/>
      <c r="O84" s="20"/>
      <c r="P84" s="207"/>
      <c r="Q84" s="207"/>
    </row>
    <row r="85" spans="1:17">
      <c r="A85" s="132"/>
      <c r="B85" s="132"/>
      <c r="C85" s="132"/>
      <c r="D85" s="132"/>
      <c r="E85" s="132"/>
      <c r="F85" s="132"/>
      <c r="L85" s="20"/>
      <c r="M85" s="10"/>
      <c r="N85" s="204"/>
      <c r="O85" s="20"/>
      <c r="P85" s="200"/>
      <c r="Q85" s="207"/>
    </row>
    <row r="86" spans="1:17">
      <c r="A86" s="132"/>
      <c r="B86" s="132"/>
      <c r="C86" s="132"/>
      <c r="D86" s="132"/>
      <c r="E86" s="132"/>
      <c r="F86" s="132"/>
      <c r="L86" s="20"/>
      <c r="M86" s="10"/>
      <c r="N86" s="204"/>
      <c r="O86" s="20"/>
      <c r="P86" s="207"/>
      <c r="Q86" s="207"/>
    </row>
    <row r="87" spans="1:17">
      <c r="A87" s="132"/>
      <c r="B87" s="132"/>
      <c r="C87" s="132"/>
      <c r="D87" s="132"/>
      <c r="E87" s="132"/>
      <c r="F87" s="132"/>
      <c r="L87" s="20"/>
      <c r="M87" s="10"/>
      <c r="N87" s="204"/>
      <c r="O87" s="20"/>
      <c r="P87" s="207"/>
      <c r="Q87" s="207"/>
    </row>
    <row r="88" spans="1:17">
      <c r="A88" s="132"/>
      <c r="B88" s="132"/>
      <c r="C88" s="132"/>
      <c r="D88" s="132"/>
      <c r="E88" s="132"/>
      <c r="F88" s="132"/>
      <c r="L88" s="20"/>
      <c r="M88" s="10"/>
      <c r="N88" s="204"/>
      <c r="O88" s="20"/>
      <c r="P88" s="207"/>
      <c r="Q88" s="207"/>
    </row>
    <row r="89" spans="1:17">
      <c r="A89" s="132"/>
      <c r="B89" s="132"/>
      <c r="C89" s="132"/>
      <c r="D89" s="132"/>
      <c r="E89" s="132"/>
      <c r="F89" s="132"/>
      <c r="L89" s="20"/>
      <c r="M89" s="10"/>
      <c r="N89" s="204"/>
      <c r="O89" s="20"/>
      <c r="P89" s="207"/>
      <c r="Q89" s="207"/>
    </row>
    <row r="90" spans="1:17">
      <c r="A90" s="132"/>
      <c r="B90" s="132"/>
      <c r="C90" s="132"/>
      <c r="D90" s="132"/>
      <c r="E90" s="132"/>
      <c r="F90" s="132"/>
      <c r="L90" s="20"/>
      <c r="M90" s="10"/>
      <c r="N90" s="14"/>
      <c r="O90" s="14"/>
      <c r="P90" s="25"/>
      <c r="Q90" s="25"/>
    </row>
    <row r="91" spans="1:17">
      <c r="A91" s="132"/>
      <c r="B91" s="132"/>
      <c r="C91" s="132"/>
      <c r="D91" s="132"/>
      <c r="E91" s="132"/>
      <c r="F91" s="132"/>
      <c r="L91" s="24"/>
      <c r="M91" s="199"/>
      <c r="N91" s="14"/>
      <c r="O91" s="14"/>
      <c r="P91" s="25"/>
      <c r="Q91" s="25"/>
    </row>
    <row r="92" spans="1:17">
      <c r="A92" s="132"/>
      <c r="B92" s="132"/>
      <c r="C92" s="132"/>
      <c r="D92" s="132"/>
      <c r="E92" s="132"/>
      <c r="F92" s="132"/>
      <c r="L92" s="20"/>
      <c r="M92" s="10"/>
      <c r="N92" s="204"/>
      <c r="O92" s="20"/>
      <c r="P92" s="207"/>
      <c r="Q92" s="207"/>
    </row>
    <row r="93" spans="1:17">
      <c r="A93" s="209" t="s">
        <v>45</v>
      </c>
      <c r="B93" s="210" t="s">
        <v>46</v>
      </c>
      <c r="C93" s="209" t="s">
        <v>47</v>
      </c>
      <c r="D93" s="209" t="s">
        <v>48</v>
      </c>
      <c r="E93" s="209" t="s">
        <v>49</v>
      </c>
      <c r="F93" s="211" t="s">
        <v>50</v>
      </c>
      <c r="L93" s="20"/>
      <c r="M93" s="10"/>
      <c r="N93" s="14"/>
      <c r="O93" s="14"/>
      <c r="P93" s="207"/>
      <c r="Q93" s="207"/>
    </row>
    <row r="94" spans="1:17">
      <c r="A94" s="209"/>
      <c r="B94" s="210"/>
      <c r="C94" s="209"/>
      <c r="D94" s="209"/>
      <c r="E94" s="209" t="s">
        <v>51</v>
      </c>
      <c r="F94" s="211" t="s">
        <v>51</v>
      </c>
      <c r="L94" s="20"/>
      <c r="M94" s="10"/>
      <c r="N94" s="14"/>
      <c r="O94" s="14"/>
      <c r="P94" s="207"/>
      <c r="Q94" s="207"/>
    </row>
    <row r="95" spans="1:17" ht="12.75" thickBot="1">
      <c r="A95" s="212"/>
      <c r="B95" s="213" t="s">
        <v>295</v>
      </c>
      <c r="C95" s="214"/>
      <c r="D95" s="214"/>
      <c r="E95" s="214"/>
      <c r="F95" s="215">
        <f>F174</f>
        <v>0</v>
      </c>
      <c r="L95" s="20"/>
      <c r="M95" s="10"/>
      <c r="N95" s="14"/>
      <c r="O95" s="14"/>
      <c r="P95" s="207"/>
      <c r="Q95" s="207"/>
    </row>
    <row r="96" spans="1:17">
      <c r="A96" s="181"/>
      <c r="B96" s="216"/>
      <c r="C96" s="217"/>
      <c r="D96" s="217"/>
      <c r="E96" s="217"/>
      <c r="F96" s="218"/>
      <c r="L96" s="20"/>
      <c r="M96" s="10"/>
      <c r="N96" s="14"/>
      <c r="O96" s="14"/>
      <c r="P96" s="207"/>
      <c r="Q96" s="207"/>
    </row>
    <row r="97" spans="1:17">
      <c r="A97" s="181"/>
      <c r="B97" s="216"/>
      <c r="C97" s="217"/>
      <c r="D97" s="217"/>
      <c r="E97" s="217"/>
      <c r="F97" s="218"/>
      <c r="L97" s="20"/>
      <c r="M97" s="10"/>
      <c r="N97" s="14"/>
      <c r="O97" s="14"/>
      <c r="P97" s="207"/>
      <c r="Q97" s="207"/>
    </row>
    <row r="98" spans="1:17">
      <c r="A98" s="181" t="s">
        <v>194</v>
      </c>
      <c r="B98" s="216" t="s">
        <v>195</v>
      </c>
      <c r="C98" s="217"/>
      <c r="D98" s="217"/>
      <c r="E98" s="217"/>
      <c r="F98" s="217"/>
      <c r="L98" s="20"/>
      <c r="M98" s="10"/>
      <c r="N98" s="14"/>
      <c r="O98" s="14"/>
      <c r="P98" s="207"/>
      <c r="Q98" s="207"/>
    </row>
    <row r="99" spans="1:17" ht="24">
      <c r="A99" s="219" t="s">
        <v>127</v>
      </c>
      <c r="B99" s="220" t="s">
        <v>196</v>
      </c>
      <c r="C99" s="221">
        <v>3</v>
      </c>
      <c r="D99" s="222" t="s">
        <v>126</v>
      </c>
      <c r="E99" s="223"/>
      <c r="F99" s="223">
        <f t="shared" ref="F99:F104" si="0">E99*C99</f>
        <v>0</v>
      </c>
      <c r="L99" s="20"/>
      <c r="M99" s="10"/>
      <c r="N99" s="14"/>
      <c r="O99" s="14"/>
      <c r="P99" s="207"/>
      <c r="Q99" s="207"/>
    </row>
    <row r="100" spans="1:17">
      <c r="A100" s="219" t="s">
        <v>128</v>
      </c>
      <c r="B100" s="224" t="s">
        <v>197</v>
      </c>
      <c r="C100" s="171">
        <v>1</v>
      </c>
      <c r="D100" s="170" t="s">
        <v>126</v>
      </c>
      <c r="E100" s="225"/>
      <c r="F100" s="226">
        <f t="shared" si="0"/>
        <v>0</v>
      </c>
      <c r="L100" s="20"/>
      <c r="M100" s="10"/>
      <c r="N100" s="14"/>
      <c r="O100" s="14"/>
      <c r="P100" s="207"/>
      <c r="Q100" s="207"/>
    </row>
    <row r="101" spans="1:17">
      <c r="A101" s="227" t="s">
        <v>129</v>
      </c>
      <c r="B101" s="132" t="s">
        <v>198</v>
      </c>
      <c r="C101" s="171">
        <v>1</v>
      </c>
      <c r="D101" s="170" t="s">
        <v>126</v>
      </c>
      <c r="E101" s="228"/>
      <c r="F101" s="226">
        <f t="shared" si="0"/>
        <v>0</v>
      </c>
      <c r="L101" s="20"/>
      <c r="M101" s="10"/>
      <c r="N101" s="204"/>
      <c r="O101" s="20"/>
      <c r="P101" s="207"/>
      <c r="Q101" s="207"/>
    </row>
    <row r="102" spans="1:17">
      <c r="A102" s="227" t="s">
        <v>130</v>
      </c>
      <c r="B102" s="229" t="s">
        <v>199</v>
      </c>
      <c r="C102" s="230">
        <v>1</v>
      </c>
      <c r="D102" s="231" t="s">
        <v>126</v>
      </c>
      <c r="E102" s="132"/>
      <c r="F102" s="232">
        <f t="shared" si="0"/>
        <v>0</v>
      </c>
      <c r="L102" s="20"/>
      <c r="M102" s="10"/>
      <c r="N102" s="204"/>
      <c r="O102" s="20"/>
      <c r="P102" s="207"/>
      <c r="Q102" s="207"/>
    </row>
    <row r="103" spans="1:17">
      <c r="A103" s="233" t="s">
        <v>131</v>
      </c>
      <c r="B103" s="229" t="s">
        <v>200</v>
      </c>
      <c r="C103" s="171">
        <v>1</v>
      </c>
      <c r="D103" s="170" t="s">
        <v>126</v>
      </c>
      <c r="E103" s="228"/>
      <c r="F103" s="226">
        <f t="shared" si="0"/>
        <v>0</v>
      </c>
      <c r="L103" s="20"/>
      <c r="M103" s="10"/>
      <c r="N103" s="204"/>
      <c r="O103" s="20"/>
      <c r="P103" s="207"/>
      <c r="Q103" s="207"/>
    </row>
    <row r="104" spans="1:17" ht="24">
      <c r="A104" s="233" t="s">
        <v>124</v>
      </c>
      <c r="B104" s="229" t="s">
        <v>201</v>
      </c>
      <c r="C104" s="127">
        <v>2</v>
      </c>
      <c r="D104" s="126" t="s">
        <v>126</v>
      </c>
      <c r="E104" s="156"/>
      <c r="F104" s="234">
        <f t="shared" si="0"/>
        <v>0</v>
      </c>
      <c r="L104" s="20"/>
      <c r="M104" s="10"/>
      <c r="N104" s="204"/>
      <c r="O104" s="20"/>
      <c r="P104" s="207"/>
      <c r="Q104" s="207"/>
    </row>
    <row r="105" spans="1:17">
      <c r="A105" s="235"/>
      <c r="B105" s="229"/>
      <c r="C105" s="127"/>
      <c r="D105" s="126"/>
      <c r="E105" s="156"/>
      <c r="F105" s="234"/>
      <c r="L105" s="20"/>
      <c r="M105" s="10"/>
      <c r="N105" s="204"/>
      <c r="O105" s="20"/>
      <c r="P105" s="207"/>
      <c r="Q105" s="207"/>
    </row>
    <row r="106" spans="1:17">
      <c r="A106" s="236"/>
      <c r="B106" s="229"/>
      <c r="C106" s="127"/>
      <c r="D106" s="126"/>
      <c r="E106" s="156"/>
      <c r="F106" s="234"/>
      <c r="L106" s="20"/>
      <c r="M106" s="10"/>
      <c r="N106" s="204"/>
      <c r="O106" s="20"/>
      <c r="P106" s="207"/>
      <c r="Q106" s="207"/>
    </row>
    <row r="107" spans="1:17" ht="24">
      <c r="A107" s="237" t="s">
        <v>202</v>
      </c>
      <c r="B107" s="216" t="s">
        <v>203</v>
      </c>
      <c r="C107" s="230"/>
      <c r="D107" s="231"/>
      <c r="E107" s="162"/>
      <c r="F107" s="162"/>
      <c r="L107" s="20"/>
      <c r="M107" s="238"/>
      <c r="N107" s="239"/>
      <c r="O107" s="240"/>
      <c r="P107" s="200"/>
      <c r="Q107" s="25"/>
    </row>
    <row r="108" spans="1:17" ht="13.5">
      <c r="A108" s="241" t="s">
        <v>134</v>
      </c>
      <c r="B108" s="242" t="s">
        <v>204</v>
      </c>
      <c r="C108" s="243">
        <v>2</v>
      </c>
      <c r="D108" s="243" t="s">
        <v>126</v>
      </c>
      <c r="E108" s="244"/>
      <c r="F108" s="245">
        <f t="shared" ref="F108:F118" si="1">E108*C108</f>
        <v>0</v>
      </c>
      <c r="L108" s="20"/>
      <c r="M108" s="10"/>
      <c r="N108" s="204"/>
      <c r="O108" s="204"/>
      <c r="P108" s="246"/>
      <c r="Q108" s="25"/>
    </row>
    <row r="109" spans="1:17" ht="13.5">
      <c r="A109" s="247"/>
      <c r="B109" s="242" t="s">
        <v>205</v>
      </c>
      <c r="C109" s="243">
        <v>1</v>
      </c>
      <c r="D109" s="243" t="s">
        <v>126</v>
      </c>
      <c r="E109" s="244"/>
      <c r="F109" s="245">
        <f t="shared" si="1"/>
        <v>0</v>
      </c>
      <c r="L109" s="20"/>
      <c r="M109" s="248"/>
      <c r="N109" s="249"/>
      <c r="O109" s="250"/>
      <c r="P109" s="246"/>
      <c r="Q109" s="25"/>
    </row>
    <row r="110" spans="1:17">
      <c r="A110" s="251" t="s">
        <v>135</v>
      </c>
      <c r="B110" s="252" t="s">
        <v>206</v>
      </c>
      <c r="C110" s="253">
        <v>5</v>
      </c>
      <c r="D110" s="251" t="s">
        <v>7</v>
      </c>
      <c r="E110" s="245"/>
      <c r="F110" s="245">
        <f t="shared" si="1"/>
        <v>0</v>
      </c>
      <c r="L110" s="14"/>
      <c r="M110" s="10"/>
      <c r="N110" s="14"/>
      <c r="O110" s="14"/>
      <c r="P110" s="207"/>
      <c r="Q110" s="25"/>
    </row>
    <row r="111" spans="1:17">
      <c r="A111" s="251" t="s">
        <v>136</v>
      </c>
      <c r="B111" s="252" t="s">
        <v>207</v>
      </c>
      <c r="C111" s="253">
        <v>1</v>
      </c>
      <c r="D111" s="251" t="s">
        <v>7</v>
      </c>
      <c r="E111" s="245"/>
      <c r="F111" s="245">
        <f t="shared" si="1"/>
        <v>0</v>
      </c>
      <c r="M111" s="10"/>
      <c r="N111" s="14"/>
      <c r="O111" s="14"/>
      <c r="P111" s="25"/>
      <c r="Q111" s="25"/>
    </row>
    <row r="112" spans="1:17">
      <c r="A112" s="251" t="s">
        <v>137</v>
      </c>
      <c r="B112" s="254" t="s">
        <v>208</v>
      </c>
      <c r="C112" s="253">
        <v>14</v>
      </c>
      <c r="D112" s="251" t="s">
        <v>7</v>
      </c>
      <c r="E112" s="245"/>
      <c r="F112" s="245">
        <f t="shared" si="1"/>
        <v>0</v>
      </c>
      <c r="L112" s="24"/>
      <c r="M112" s="199"/>
      <c r="N112" s="10"/>
      <c r="O112" s="10"/>
      <c r="P112" s="10"/>
      <c r="Q112" s="10"/>
    </row>
    <row r="113" spans="1:17">
      <c r="A113" s="251" t="s">
        <v>138</v>
      </c>
      <c r="B113" s="255" t="s">
        <v>209</v>
      </c>
      <c r="C113" s="153">
        <v>4</v>
      </c>
      <c r="D113" s="153" t="s">
        <v>126</v>
      </c>
      <c r="E113" s="153"/>
      <c r="F113" s="153">
        <f t="shared" si="1"/>
        <v>0</v>
      </c>
      <c r="L113" s="20"/>
      <c r="M113" s="10"/>
      <c r="N113" s="204"/>
      <c r="O113" s="20"/>
      <c r="P113" s="207"/>
      <c r="Q113" s="207"/>
    </row>
    <row r="114" spans="1:17">
      <c r="A114" s="251" t="s">
        <v>139</v>
      </c>
      <c r="B114" s="252" t="s">
        <v>210</v>
      </c>
      <c r="C114" s="221">
        <f>1+1</f>
        <v>2</v>
      </c>
      <c r="D114" s="222" t="s">
        <v>126</v>
      </c>
      <c r="E114" s="256"/>
      <c r="F114" s="256">
        <f t="shared" si="1"/>
        <v>0</v>
      </c>
      <c r="L114" s="20"/>
      <c r="M114" s="10"/>
      <c r="N114" s="204"/>
      <c r="O114" s="20"/>
      <c r="P114" s="207"/>
      <c r="Q114" s="207"/>
    </row>
    <row r="115" spans="1:17">
      <c r="A115" s="251" t="s">
        <v>140</v>
      </c>
      <c r="B115" s="252" t="s">
        <v>211</v>
      </c>
      <c r="C115" s="171">
        <v>4</v>
      </c>
      <c r="D115" s="170" t="s">
        <v>126</v>
      </c>
      <c r="E115" s="257"/>
      <c r="F115" s="257">
        <f t="shared" si="1"/>
        <v>0</v>
      </c>
      <c r="L115" s="20"/>
      <c r="M115" s="10"/>
      <c r="N115" s="204"/>
      <c r="O115" s="20"/>
      <c r="P115" s="207"/>
      <c r="Q115" s="207"/>
    </row>
    <row r="116" spans="1:17">
      <c r="A116" s="247" t="s">
        <v>141</v>
      </c>
      <c r="B116" s="242" t="s">
        <v>212</v>
      </c>
      <c r="C116" s="230">
        <v>10</v>
      </c>
      <c r="D116" s="231" t="s">
        <v>213</v>
      </c>
      <c r="E116" s="258"/>
      <c r="F116" s="258">
        <f t="shared" si="1"/>
        <v>0</v>
      </c>
      <c r="L116" s="20"/>
      <c r="M116" s="10"/>
      <c r="N116" s="204"/>
      <c r="O116" s="20"/>
      <c r="P116" s="207"/>
      <c r="Q116" s="207"/>
    </row>
    <row r="117" spans="1:17">
      <c r="A117" s="251" t="s">
        <v>142</v>
      </c>
      <c r="B117" s="242" t="s">
        <v>214</v>
      </c>
      <c r="C117" s="171">
        <v>2</v>
      </c>
      <c r="D117" s="170" t="s">
        <v>126</v>
      </c>
      <c r="E117" s="257"/>
      <c r="F117" s="257">
        <f t="shared" si="1"/>
        <v>0</v>
      </c>
      <c r="L117" s="20"/>
      <c r="M117" s="10"/>
      <c r="N117" s="204"/>
      <c r="O117" s="20"/>
      <c r="P117" s="207"/>
      <c r="Q117" s="207"/>
    </row>
    <row r="118" spans="1:17">
      <c r="A118" s="251" t="s">
        <v>143</v>
      </c>
      <c r="B118" s="242" t="s">
        <v>215</v>
      </c>
      <c r="C118" s="171">
        <v>3</v>
      </c>
      <c r="D118" s="170" t="s">
        <v>126</v>
      </c>
      <c r="E118" s="257"/>
      <c r="F118" s="257">
        <f t="shared" si="1"/>
        <v>0</v>
      </c>
      <c r="L118" s="20"/>
      <c r="M118" s="10"/>
      <c r="N118" s="204"/>
      <c r="O118" s="20"/>
      <c r="P118" s="207"/>
      <c r="Q118" s="207"/>
    </row>
    <row r="119" spans="1:17">
      <c r="A119" s="132"/>
      <c r="B119" s="132"/>
      <c r="C119" s="132"/>
      <c r="D119" s="132"/>
      <c r="E119" s="132"/>
      <c r="F119" s="132"/>
      <c r="L119" s="14"/>
      <c r="M119" s="10"/>
      <c r="N119" s="204"/>
      <c r="O119" s="20"/>
      <c r="P119" s="207"/>
      <c r="Q119" s="207"/>
    </row>
    <row r="120" spans="1:17">
      <c r="A120" s="259"/>
      <c r="B120" s="260" t="s">
        <v>216</v>
      </c>
      <c r="C120" s="164"/>
      <c r="D120" s="164"/>
      <c r="E120" s="161"/>
      <c r="F120" s="161"/>
      <c r="M120" s="10"/>
      <c r="N120" s="14"/>
      <c r="O120" s="14"/>
      <c r="P120" s="25"/>
      <c r="Q120" s="25"/>
    </row>
    <row r="121" spans="1:17">
      <c r="A121" s="222" t="s">
        <v>144</v>
      </c>
      <c r="B121" s="255" t="s">
        <v>217</v>
      </c>
      <c r="C121" s="261">
        <v>14</v>
      </c>
      <c r="D121" s="231" t="s">
        <v>126</v>
      </c>
      <c r="E121" s="262"/>
      <c r="F121" s="262">
        <f t="shared" ref="F121:F126" si="2">E121*C121</f>
        <v>0</v>
      </c>
      <c r="L121" s="24"/>
      <c r="M121" s="199"/>
      <c r="Q121" s="207"/>
    </row>
    <row r="122" spans="1:17">
      <c r="A122" s="222" t="s">
        <v>145</v>
      </c>
      <c r="B122" s="252" t="s">
        <v>218</v>
      </c>
      <c r="C122" s="253">
        <v>5</v>
      </c>
      <c r="D122" s="222" t="s">
        <v>126</v>
      </c>
      <c r="E122" s="263"/>
      <c r="F122" s="245">
        <f t="shared" si="2"/>
        <v>0</v>
      </c>
      <c r="L122" s="20"/>
      <c r="M122" s="10"/>
      <c r="N122" s="204"/>
      <c r="O122" s="20"/>
      <c r="P122" s="207"/>
      <c r="Q122" s="239"/>
    </row>
    <row r="123" spans="1:17">
      <c r="A123" s="222" t="s">
        <v>146</v>
      </c>
      <c r="B123" s="252" t="s">
        <v>219</v>
      </c>
      <c r="C123" s="253">
        <v>3</v>
      </c>
      <c r="D123" s="222" t="s">
        <v>126</v>
      </c>
      <c r="E123" s="245"/>
      <c r="F123" s="245">
        <f t="shared" si="2"/>
        <v>0</v>
      </c>
      <c r="L123" s="20"/>
      <c r="M123" s="10"/>
      <c r="N123" s="14"/>
      <c r="O123" s="14"/>
      <c r="P123" s="25"/>
      <c r="Q123" s="239"/>
    </row>
    <row r="124" spans="1:17">
      <c r="A124" s="241" t="s">
        <v>147</v>
      </c>
      <c r="B124" s="252" t="s">
        <v>220</v>
      </c>
      <c r="C124" s="253">
        <v>3</v>
      </c>
      <c r="D124" s="222" t="s">
        <v>126</v>
      </c>
      <c r="E124" s="245"/>
      <c r="F124" s="245">
        <f t="shared" si="2"/>
        <v>0</v>
      </c>
      <c r="L124" s="20"/>
      <c r="M124" s="10"/>
      <c r="N124" s="204"/>
      <c r="O124" s="20"/>
      <c r="P124" s="207"/>
      <c r="Q124" s="239"/>
    </row>
    <row r="125" spans="1:17">
      <c r="A125" s="264" t="s">
        <v>148</v>
      </c>
      <c r="B125" s="252" t="s">
        <v>221</v>
      </c>
      <c r="C125" s="253">
        <v>3</v>
      </c>
      <c r="D125" s="222" t="s">
        <v>126</v>
      </c>
      <c r="E125" s="245"/>
      <c r="F125" s="245">
        <f t="shared" si="2"/>
        <v>0</v>
      </c>
      <c r="L125" s="20"/>
      <c r="M125" s="10"/>
      <c r="N125" s="204"/>
      <c r="O125" s="20"/>
      <c r="P125" s="207"/>
      <c r="Q125" s="239"/>
    </row>
    <row r="126" spans="1:17">
      <c r="A126" s="264" t="s">
        <v>222</v>
      </c>
      <c r="B126" s="265" t="s">
        <v>223</v>
      </c>
      <c r="C126" s="221">
        <v>3</v>
      </c>
      <c r="D126" s="222" t="s">
        <v>126</v>
      </c>
      <c r="E126" s="256"/>
      <c r="F126" s="256">
        <f t="shared" si="2"/>
        <v>0</v>
      </c>
      <c r="L126" s="20"/>
      <c r="M126" s="10"/>
      <c r="N126" s="200"/>
      <c r="O126" s="200"/>
      <c r="P126" s="200"/>
      <c r="Q126" s="239"/>
    </row>
    <row r="127" spans="1:17">
      <c r="A127" s="126"/>
      <c r="B127" s="229"/>
      <c r="C127" s="128"/>
      <c r="D127" s="128"/>
      <c r="E127" s="266"/>
      <c r="F127" s="266"/>
      <c r="L127" s="20"/>
      <c r="M127" s="10"/>
      <c r="N127" s="14"/>
      <c r="O127" s="20"/>
      <c r="P127" s="25"/>
      <c r="Q127" s="239"/>
    </row>
    <row r="128" spans="1:17">
      <c r="A128" s="181"/>
      <c r="B128" s="216" t="s">
        <v>224</v>
      </c>
      <c r="C128" s="153"/>
      <c r="D128" s="153"/>
      <c r="E128" s="154"/>
      <c r="F128" s="154"/>
      <c r="L128" s="20"/>
      <c r="M128" s="10"/>
      <c r="N128" s="14"/>
      <c r="O128" s="20"/>
      <c r="P128" s="25"/>
      <c r="Q128" s="239"/>
    </row>
    <row r="129" spans="1:121">
      <c r="A129" s="264" t="s">
        <v>225</v>
      </c>
      <c r="B129" s="265" t="s">
        <v>226</v>
      </c>
      <c r="C129" s="221">
        <v>216</v>
      </c>
      <c r="D129" s="222" t="s">
        <v>126</v>
      </c>
      <c r="E129" s="256"/>
      <c r="F129" s="245">
        <f>E129*C129</f>
        <v>0</v>
      </c>
      <c r="L129" s="20"/>
      <c r="M129" s="10"/>
      <c r="N129" s="200"/>
      <c r="O129" s="20"/>
      <c r="P129" s="200"/>
      <c r="Q129" s="239"/>
    </row>
    <row r="130" spans="1:121">
      <c r="A130" s="264" t="s">
        <v>227</v>
      </c>
      <c r="B130" s="267" t="s">
        <v>228</v>
      </c>
      <c r="C130" s="172">
        <v>216</v>
      </c>
      <c r="D130" s="172" t="s">
        <v>126</v>
      </c>
      <c r="E130" s="256"/>
      <c r="F130" s="245">
        <f t="shared" ref="F130:F135" si="3">E130*C130</f>
        <v>0</v>
      </c>
      <c r="L130" s="20"/>
      <c r="M130" s="10"/>
      <c r="N130" s="200"/>
      <c r="O130" s="20"/>
      <c r="P130" s="200"/>
      <c r="Q130" s="239"/>
    </row>
    <row r="131" spans="1:121">
      <c r="A131" s="264" t="s">
        <v>229</v>
      </c>
      <c r="B131" s="268" t="s">
        <v>230</v>
      </c>
      <c r="C131" s="164">
        <v>216</v>
      </c>
      <c r="D131" s="164" t="s">
        <v>126</v>
      </c>
      <c r="E131" s="256"/>
      <c r="F131" s="245">
        <f t="shared" si="3"/>
        <v>0</v>
      </c>
      <c r="L131" s="10"/>
      <c r="M131" s="10"/>
      <c r="N131" s="269"/>
      <c r="O131" s="270"/>
      <c r="P131" s="271"/>
      <c r="Q131" s="207"/>
    </row>
    <row r="132" spans="1:121">
      <c r="A132" s="264" t="s">
        <v>231</v>
      </c>
      <c r="B132" s="155" t="s">
        <v>232</v>
      </c>
      <c r="C132" s="153">
        <v>8</v>
      </c>
      <c r="D132" s="172" t="s">
        <v>7</v>
      </c>
      <c r="E132" s="256"/>
      <c r="F132" s="245">
        <f t="shared" si="3"/>
        <v>0</v>
      </c>
      <c r="L132" s="272"/>
      <c r="M132" s="273"/>
      <c r="N132" s="204"/>
      <c r="O132" s="20"/>
      <c r="P132" s="207"/>
      <c r="Q132" s="207"/>
    </row>
    <row r="133" spans="1:121">
      <c r="A133" s="264" t="s">
        <v>233</v>
      </c>
      <c r="B133" s="267" t="s">
        <v>234</v>
      </c>
      <c r="C133" s="172">
        <v>10</v>
      </c>
      <c r="D133" s="153" t="s">
        <v>126</v>
      </c>
      <c r="E133" s="256"/>
      <c r="F133" s="245">
        <f t="shared" si="3"/>
        <v>0</v>
      </c>
      <c r="L133" s="274"/>
      <c r="M133" s="17"/>
      <c r="N133" s="275"/>
      <c r="O133" s="275"/>
      <c r="P133" s="275"/>
      <c r="Q133" s="275"/>
    </row>
    <row r="134" spans="1:121">
      <c r="A134" s="264" t="s">
        <v>235</v>
      </c>
      <c r="B134" s="155" t="s">
        <v>236</v>
      </c>
      <c r="C134" s="153">
        <v>10</v>
      </c>
      <c r="D134" s="128" t="s">
        <v>126</v>
      </c>
      <c r="E134" s="256"/>
      <c r="F134" s="245">
        <f t="shared" si="3"/>
        <v>0</v>
      </c>
      <c r="L134" s="274"/>
      <c r="M134" s="17"/>
      <c r="N134" s="274"/>
      <c r="O134" s="274"/>
      <c r="P134" s="274"/>
      <c r="Q134" s="274"/>
    </row>
    <row r="135" spans="1:121">
      <c r="A135" s="264" t="s">
        <v>237</v>
      </c>
      <c r="B135" s="267" t="s">
        <v>238</v>
      </c>
      <c r="C135" s="172">
        <v>20</v>
      </c>
      <c r="D135" s="172" t="s">
        <v>126</v>
      </c>
      <c r="E135" s="256"/>
      <c r="F135" s="245">
        <f t="shared" si="3"/>
        <v>0</v>
      </c>
      <c r="L135" s="13"/>
      <c r="M135" s="13"/>
      <c r="N135" s="274"/>
      <c r="O135" s="274"/>
      <c r="P135" s="274"/>
      <c r="Q135" s="274"/>
    </row>
    <row r="136" spans="1:121">
      <c r="A136" s="264" t="s">
        <v>239</v>
      </c>
      <c r="B136" s="255" t="s">
        <v>240</v>
      </c>
      <c r="C136" s="261">
        <v>4</v>
      </c>
      <c r="D136" s="247" t="s">
        <v>126</v>
      </c>
      <c r="E136" s="245"/>
      <c r="F136" s="245">
        <f>E136*C136</f>
        <v>0</v>
      </c>
    </row>
    <row r="137" spans="1:121" ht="12" customHeight="1">
      <c r="A137" s="264" t="s">
        <v>241</v>
      </c>
      <c r="B137" s="255" t="s">
        <v>242</v>
      </c>
      <c r="C137" s="230">
        <v>2</v>
      </c>
      <c r="D137" s="231" t="s">
        <v>126</v>
      </c>
      <c r="E137" s="256"/>
      <c r="F137" s="256">
        <f>E137*C137</f>
        <v>0</v>
      </c>
    </row>
    <row r="138" spans="1:121" ht="12" customHeight="1">
      <c r="A138" s="264" t="s">
        <v>243</v>
      </c>
      <c r="B138" s="267" t="s">
        <v>244</v>
      </c>
      <c r="C138" s="172">
        <v>10</v>
      </c>
      <c r="D138" s="172" t="s">
        <v>126</v>
      </c>
      <c r="E138" s="257"/>
      <c r="F138" s="276">
        <f>E138*C138</f>
        <v>0</v>
      </c>
    </row>
    <row r="139" spans="1:121" ht="12" customHeight="1">
      <c r="A139" s="231"/>
      <c r="B139" s="229"/>
      <c r="C139" s="153"/>
      <c r="D139" s="153"/>
      <c r="E139" s="258"/>
      <c r="F139" s="154"/>
    </row>
    <row r="140" spans="1:121" ht="12" customHeight="1">
      <c r="A140" s="277"/>
      <c r="B140" s="216" t="s">
        <v>245</v>
      </c>
      <c r="C140" s="153"/>
      <c r="D140" s="153"/>
      <c r="E140" s="258"/>
      <c r="F140" s="161"/>
    </row>
    <row r="141" spans="1:121">
      <c r="A141" s="170" t="s">
        <v>246</v>
      </c>
      <c r="B141" s="267" t="s">
        <v>247</v>
      </c>
      <c r="C141" s="278">
        <v>5</v>
      </c>
      <c r="D141" s="279" t="s">
        <v>23</v>
      </c>
      <c r="E141" s="280"/>
      <c r="F141" s="276">
        <f t="shared" ref="F141:F144" si="4">E141*C141</f>
        <v>0</v>
      </c>
    </row>
    <row r="142" spans="1:121">
      <c r="A142" s="170" t="s">
        <v>248</v>
      </c>
      <c r="B142" s="267" t="s">
        <v>249</v>
      </c>
      <c r="C142" s="230">
        <v>40</v>
      </c>
      <c r="D142" s="217" t="s">
        <v>23</v>
      </c>
      <c r="E142" s="217"/>
      <c r="F142" s="276">
        <f t="shared" si="4"/>
        <v>0</v>
      </c>
    </row>
    <row r="143" spans="1:121" s="281" customFormat="1">
      <c r="A143" s="280" t="s">
        <v>250</v>
      </c>
      <c r="B143" s="267" t="s">
        <v>251</v>
      </c>
      <c r="C143" s="280">
        <v>7</v>
      </c>
      <c r="D143" s="280" t="s">
        <v>28</v>
      </c>
      <c r="E143" s="280"/>
      <c r="F143" s="280">
        <f t="shared" si="4"/>
        <v>0</v>
      </c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  <c r="CG143" s="10"/>
      <c r="CH143" s="10"/>
      <c r="CI143" s="10"/>
      <c r="CJ143" s="10"/>
      <c r="CK143" s="10"/>
      <c r="CL143" s="10"/>
      <c r="CM143" s="10"/>
      <c r="CN143" s="10"/>
      <c r="CO143" s="10"/>
      <c r="CP143" s="10"/>
      <c r="CQ143" s="10"/>
      <c r="CR143" s="10"/>
      <c r="CS143" s="10"/>
      <c r="CT143" s="10"/>
      <c r="CU143" s="10"/>
      <c r="CV143" s="10"/>
      <c r="CW143" s="10"/>
      <c r="CX143" s="10"/>
      <c r="CY143" s="10"/>
      <c r="CZ143" s="10"/>
      <c r="DA143" s="10"/>
      <c r="DB143" s="10"/>
      <c r="DC143" s="10"/>
      <c r="DD143" s="10"/>
      <c r="DE143" s="10"/>
      <c r="DF143" s="10"/>
      <c r="DG143" s="10"/>
      <c r="DH143" s="10"/>
      <c r="DI143" s="10"/>
      <c r="DJ143" s="10"/>
      <c r="DK143" s="10"/>
      <c r="DL143" s="10"/>
      <c r="DM143" s="10"/>
      <c r="DN143" s="10"/>
      <c r="DO143" s="10"/>
      <c r="DP143" s="10"/>
      <c r="DQ143" s="10"/>
    </row>
    <row r="144" spans="1:121">
      <c r="A144" s="170" t="s">
        <v>252</v>
      </c>
      <c r="B144" s="267" t="s">
        <v>253</v>
      </c>
      <c r="C144" s="282">
        <v>5</v>
      </c>
      <c r="D144" s="283" t="s">
        <v>7</v>
      </c>
      <c r="E144" s="284"/>
      <c r="F144" s="276">
        <f t="shared" si="4"/>
        <v>0</v>
      </c>
    </row>
    <row r="145" spans="1:6">
      <c r="A145" s="126"/>
      <c r="B145" s="285"/>
      <c r="C145" s="286"/>
      <c r="D145" s="287"/>
      <c r="E145" s="288"/>
      <c r="F145" s="266"/>
    </row>
    <row r="146" spans="1:6">
      <c r="A146" s="231"/>
      <c r="B146" s="216" t="s">
        <v>254</v>
      </c>
      <c r="C146" s="289"/>
      <c r="D146" s="290"/>
      <c r="E146" s="291"/>
      <c r="F146" s="161"/>
    </row>
    <row r="147" spans="1:6">
      <c r="A147" s="170" t="s">
        <v>255</v>
      </c>
      <c r="B147" s="267" t="s">
        <v>256</v>
      </c>
      <c r="C147" s="280">
        <v>2</v>
      </c>
      <c r="D147" s="280" t="s">
        <v>126</v>
      </c>
      <c r="E147" s="280"/>
      <c r="F147" s="280">
        <f t="shared" ref="F147:F150" si="5">E147*C147</f>
        <v>0</v>
      </c>
    </row>
    <row r="148" spans="1:6">
      <c r="A148" s="170" t="s">
        <v>257</v>
      </c>
      <c r="B148" s="267" t="s">
        <v>258</v>
      </c>
      <c r="C148" s="280">
        <v>2</v>
      </c>
      <c r="D148" s="280" t="s">
        <v>126</v>
      </c>
      <c r="E148" s="280"/>
      <c r="F148" s="280">
        <f t="shared" si="5"/>
        <v>0</v>
      </c>
    </row>
    <row r="149" spans="1:6">
      <c r="A149" s="170" t="s">
        <v>259</v>
      </c>
      <c r="B149" s="267" t="s">
        <v>260</v>
      </c>
      <c r="C149" s="280">
        <v>1</v>
      </c>
      <c r="D149" s="280" t="s">
        <v>126</v>
      </c>
      <c r="E149" s="280"/>
      <c r="F149" s="280">
        <f t="shared" si="5"/>
        <v>0</v>
      </c>
    </row>
    <row r="150" spans="1:6">
      <c r="A150" s="170" t="s">
        <v>261</v>
      </c>
      <c r="B150" s="267" t="s">
        <v>262</v>
      </c>
      <c r="C150" s="280">
        <v>1</v>
      </c>
      <c r="D150" s="280" t="s">
        <v>126</v>
      </c>
      <c r="E150" s="280"/>
      <c r="F150" s="280">
        <f t="shared" si="5"/>
        <v>0</v>
      </c>
    </row>
    <row r="151" spans="1:6">
      <c r="A151" s="126"/>
      <c r="B151" s="285"/>
      <c r="C151" s="292"/>
      <c r="D151" s="293"/>
      <c r="E151" s="294"/>
      <c r="F151" s="154"/>
    </row>
    <row r="152" spans="1:6">
      <c r="A152" s="153"/>
      <c r="B152" s="155"/>
      <c r="C152" s="153"/>
      <c r="D152" s="153"/>
      <c r="E152" s="258"/>
      <c r="F152" s="154"/>
    </row>
    <row r="153" spans="1:6">
      <c r="A153" s="259" t="s">
        <v>263</v>
      </c>
      <c r="B153" s="260" t="s">
        <v>264</v>
      </c>
      <c r="C153" s="268"/>
      <c r="D153" s="268"/>
      <c r="E153" s="268"/>
      <c r="F153" s="268"/>
    </row>
    <row r="154" spans="1:6">
      <c r="A154" s="170" t="s">
        <v>265</v>
      </c>
      <c r="B154" s="255" t="s">
        <v>266</v>
      </c>
      <c r="C154" s="261">
        <v>10</v>
      </c>
      <c r="D154" s="247" t="s">
        <v>267</v>
      </c>
      <c r="E154" s="262"/>
      <c r="F154" s="262">
        <f>E154*C154</f>
        <v>0</v>
      </c>
    </row>
    <row r="155" spans="1:6">
      <c r="A155" s="170" t="s">
        <v>268</v>
      </c>
      <c r="B155" s="265" t="s">
        <v>269</v>
      </c>
      <c r="C155" s="221">
        <v>12</v>
      </c>
      <c r="D155" s="222" t="s">
        <v>267</v>
      </c>
      <c r="E155" s="256"/>
      <c r="F155" s="256">
        <f>E155*C155</f>
        <v>0</v>
      </c>
    </row>
    <row r="156" spans="1:6">
      <c r="A156" s="170" t="s">
        <v>270</v>
      </c>
      <c r="B156" s="267" t="s">
        <v>271</v>
      </c>
      <c r="C156" s="171">
        <v>2</v>
      </c>
      <c r="D156" s="170" t="s">
        <v>126</v>
      </c>
      <c r="E156" s="257"/>
      <c r="F156" s="257">
        <f>E156*C156</f>
        <v>0</v>
      </c>
    </row>
    <row r="157" spans="1:6">
      <c r="A157" s="153"/>
      <c r="B157" s="155"/>
      <c r="C157" s="230"/>
      <c r="D157" s="231"/>
      <c r="E157" s="258"/>
      <c r="F157" s="258"/>
    </row>
    <row r="158" spans="1:6">
      <c r="A158" s="132"/>
      <c r="B158" s="155"/>
      <c r="C158" s="153"/>
      <c r="D158" s="153"/>
      <c r="E158" s="154"/>
      <c r="F158" s="154"/>
    </row>
    <row r="159" spans="1:6">
      <c r="A159" s="259" t="s">
        <v>272</v>
      </c>
      <c r="B159" s="260" t="s">
        <v>273</v>
      </c>
      <c r="C159" s="159"/>
      <c r="D159" s="159"/>
      <c r="E159" s="159"/>
      <c r="F159" s="262"/>
    </row>
    <row r="160" spans="1:6">
      <c r="A160" s="247" t="s">
        <v>274</v>
      </c>
      <c r="B160" s="255" t="s">
        <v>275</v>
      </c>
      <c r="C160" s="261">
        <v>1</v>
      </c>
      <c r="D160" s="247" t="s">
        <v>126</v>
      </c>
      <c r="E160" s="262"/>
      <c r="F160" s="174">
        <f t="shared" ref="F160:F165" si="6">C160*E160</f>
        <v>0</v>
      </c>
    </row>
    <row r="161" spans="1:6">
      <c r="A161" s="251" t="s">
        <v>276</v>
      </c>
      <c r="B161" s="252" t="s">
        <v>277</v>
      </c>
      <c r="C161" s="153">
        <v>4</v>
      </c>
      <c r="D161" s="153" t="s">
        <v>126</v>
      </c>
      <c r="E161" s="154"/>
      <c r="F161" s="174">
        <f t="shared" si="6"/>
        <v>0</v>
      </c>
    </row>
    <row r="162" spans="1:6">
      <c r="A162" s="251" t="s">
        <v>278</v>
      </c>
      <c r="B162" s="252" t="s">
        <v>279</v>
      </c>
      <c r="C162" s="221">
        <v>1</v>
      </c>
      <c r="D162" s="222" t="s">
        <v>126</v>
      </c>
      <c r="E162" s="256"/>
      <c r="F162" s="174">
        <f t="shared" si="6"/>
        <v>0</v>
      </c>
    </row>
    <row r="163" spans="1:6">
      <c r="A163" s="222" t="s">
        <v>280</v>
      </c>
      <c r="B163" s="252" t="s">
        <v>281</v>
      </c>
      <c r="C163" s="171">
        <v>1</v>
      </c>
      <c r="D163" s="170" t="s">
        <v>126</v>
      </c>
      <c r="E163" s="257"/>
      <c r="F163" s="174">
        <f t="shared" si="6"/>
        <v>0</v>
      </c>
    </row>
    <row r="164" spans="1:6">
      <c r="A164" s="170" t="s">
        <v>282</v>
      </c>
      <c r="B164" s="268" t="s">
        <v>283</v>
      </c>
      <c r="C164" s="102">
        <v>4</v>
      </c>
      <c r="D164" s="102" t="s">
        <v>126</v>
      </c>
      <c r="E164" s="102"/>
      <c r="F164" s="174">
        <f t="shared" si="6"/>
        <v>0</v>
      </c>
    </row>
    <row r="165" spans="1:6">
      <c r="A165" s="126" t="s">
        <v>284</v>
      </c>
      <c r="B165" s="155" t="s">
        <v>285</v>
      </c>
      <c r="C165" s="153">
        <v>2</v>
      </c>
      <c r="D165" s="170" t="s">
        <v>126</v>
      </c>
      <c r="E165" s="276"/>
      <c r="F165" s="174">
        <f t="shared" si="6"/>
        <v>0</v>
      </c>
    </row>
    <row r="166" spans="1:6">
      <c r="A166" s="126" t="s">
        <v>286</v>
      </c>
      <c r="B166" s="229" t="s">
        <v>287</v>
      </c>
      <c r="C166" s="128">
        <v>3</v>
      </c>
      <c r="D166" s="126" t="s">
        <v>126</v>
      </c>
      <c r="E166" s="154"/>
      <c r="F166" s="174">
        <f>C166*E166</f>
        <v>0</v>
      </c>
    </row>
    <row r="167" spans="1:6">
      <c r="A167" s="170" t="s">
        <v>288</v>
      </c>
      <c r="B167" s="267" t="s">
        <v>289</v>
      </c>
      <c r="C167" s="280">
        <v>3</v>
      </c>
      <c r="D167" s="170" t="s">
        <v>126</v>
      </c>
      <c r="E167" s="280"/>
      <c r="F167" s="278">
        <f>C167*E167</f>
        <v>0</v>
      </c>
    </row>
    <row r="168" spans="1:6">
      <c r="A168" s="231"/>
      <c r="B168" s="155"/>
      <c r="C168" s="217"/>
      <c r="D168" s="231"/>
      <c r="E168" s="217"/>
      <c r="F168" s="162"/>
    </row>
    <row r="169" spans="1:6">
      <c r="A169" s="155"/>
      <c r="B169" s="155"/>
      <c r="C169" s="295"/>
      <c r="D169" s="296"/>
      <c r="E169" s="297"/>
      <c r="F169" s="258"/>
    </row>
    <row r="170" spans="1:6">
      <c r="A170" s="298">
        <v>44682</v>
      </c>
      <c r="B170" s="299" t="s">
        <v>113</v>
      </c>
      <c r="C170" s="300">
        <v>80</v>
      </c>
      <c r="D170" s="277" t="s">
        <v>28</v>
      </c>
      <c r="E170" s="301"/>
      <c r="F170" s="301">
        <f>E170*C170</f>
        <v>0</v>
      </c>
    </row>
    <row r="171" spans="1:6">
      <c r="A171" s="302" t="s">
        <v>290</v>
      </c>
      <c r="B171" s="187" t="s">
        <v>291</v>
      </c>
      <c r="C171" s="303">
        <v>0.87</v>
      </c>
      <c r="D171" s="303" t="s">
        <v>10</v>
      </c>
      <c r="E171" s="303"/>
      <c r="F171" s="303">
        <f>C171*E171</f>
        <v>0</v>
      </c>
    </row>
    <row r="172" spans="1:6">
      <c r="A172" s="302" t="s">
        <v>292</v>
      </c>
      <c r="B172" s="304" t="s">
        <v>293</v>
      </c>
      <c r="C172" s="305"/>
      <c r="D172" s="305"/>
      <c r="E172" s="305"/>
      <c r="F172" s="305"/>
    </row>
    <row r="173" spans="1:6" ht="12.75" thickBot="1">
      <c r="A173" s="176"/>
      <c r="B173" s="176"/>
      <c r="C173" s="186"/>
      <c r="D173" s="186"/>
      <c r="E173" s="186"/>
      <c r="F173" s="186"/>
    </row>
    <row r="174" spans="1:6" ht="12.75" thickBot="1">
      <c r="A174" s="306" t="s">
        <v>294</v>
      </c>
      <c r="B174" s="307" t="str">
        <f>B95&amp;" celkem bez DPH"</f>
        <v>PS 01 Strojní část čerpací stanice Kamenné lázně celkem bez DPH</v>
      </c>
      <c r="C174" s="308"/>
      <c r="D174" s="309"/>
      <c r="E174" s="310"/>
      <c r="F174" s="311">
        <f>SUM(F99:F171)</f>
        <v>0</v>
      </c>
    </row>
  </sheetData>
  <mergeCells count="4">
    <mergeCell ref="E1:F1"/>
    <mergeCell ref="A2:B2"/>
    <mergeCell ref="E2:F2"/>
    <mergeCell ref="B34:D34"/>
  </mergeCells>
  <printOptions horizontalCentered="1"/>
  <pageMargins left="1.1811023622047245" right="1.1417322834645669" top="0.59055118110236227" bottom="1.0629921259842521" header="1.3779527559055118" footer="0.78740157480314965"/>
  <pageSetup paperSize="9" scale="65" firstPageNumber="0" fitToHeight="0" orientation="portrait" r:id="rId1"/>
  <headerFooter alignWithMargins="0"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9"/>
  <sheetViews>
    <sheetView tabSelected="1" topLeftCell="A102" zoomScale="124" zoomScaleNormal="124" workbookViewId="0">
      <selection activeCell="K186" sqref="K186"/>
    </sheetView>
  </sheetViews>
  <sheetFormatPr defaultColWidth="9.5" defaultRowHeight="12"/>
  <cols>
    <col min="1" max="1" width="10.33203125" style="9" customWidth="1"/>
    <col min="2" max="2" width="67" style="10" customWidth="1"/>
    <col min="3" max="3" width="9.5" style="11" customWidth="1"/>
    <col min="4" max="4" width="11" style="14" customWidth="1"/>
    <col min="5" max="5" width="12.33203125" style="14" customWidth="1"/>
    <col min="6" max="6" width="13.1640625" style="9" customWidth="1"/>
    <col min="7" max="16384" width="9.5" style="9"/>
  </cols>
  <sheetData>
    <row r="1" spans="1:6" s="4" customFormat="1" ht="12" customHeight="1">
      <c r="A1" s="462" t="s">
        <v>91</v>
      </c>
      <c r="B1" s="462"/>
      <c r="C1" s="132"/>
      <c r="D1" s="162"/>
      <c r="E1" s="457" t="s">
        <v>41</v>
      </c>
      <c r="F1" s="457"/>
    </row>
    <row r="2" spans="1:6" s="4" customFormat="1" ht="12" customHeight="1">
      <c r="A2" s="458" t="s">
        <v>53</v>
      </c>
      <c r="B2" s="458"/>
      <c r="C2" s="132"/>
      <c r="D2" s="162"/>
      <c r="E2" s="457" t="s">
        <v>42</v>
      </c>
      <c r="F2" s="457"/>
    </row>
    <row r="3" spans="1:6" s="4" customFormat="1">
      <c r="A3" s="163" t="s">
        <v>44</v>
      </c>
      <c r="B3" s="159"/>
      <c r="C3" s="159"/>
      <c r="D3" s="161"/>
      <c r="E3" s="164"/>
      <c r="F3" s="160" t="s">
        <v>43</v>
      </c>
    </row>
    <row r="4" spans="1:6" s="4" customFormat="1">
      <c r="B4" s="3"/>
      <c r="C4" s="1"/>
      <c r="D4" s="23"/>
      <c r="E4" s="23"/>
    </row>
    <row r="5" spans="1:6" s="4" customFormat="1">
      <c r="A5" s="2"/>
      <c r="B5" s="2"/>
      <c r="C5" s="5"/>
      <c r="D5" s="23"/>
      <c r="E5" s="5"/>
    </row>
    <row r="6" spans="1:6" s="4" customFormat="1">
      <c r="A6" s="2"/>
      <c r="B6" s="2"/>
      <c r="D6" s="23"/>
      <c r="E6" s="23"/>
    </row>
    <row r="7" spans="1:6" s="4" customFormat="1">
      <c r="A7" s="2"/>
      <c r="B7" s="2"/>
      <c r="C7" s="5"/>
      <c r="D7" s="23"/>
      <c r="E7" s="23"/>
    </row>
    <row r="8" spans="1:6" s="4" customFormat="1">
      <c r="A8" s="2"/>
      <c r="B8" s="2"/>
      <c r="C8" s="5"/>
      <c r="D8" s="23"/>
      <c r="E8" s="23"/>
    </row>
    <row r="9" spans="1:6" s="6" customFormat="1" ht="12.75">
      <c r="B9" s="7"/>
      <c r="C9" s="8"/>
      <c r="D9" s="8"/>
      <c r="E9" s="7"/>
    </row>
    <row r="11" spans="1:6" s="4" customFormat="1">
      <c r="D11" s="23"/>
      <c r="E11" s="23"/>
    </row>
    <row r="14" spans="1:6">
      <c r="A14" s="41"/>
    </row>
    <row r="18" spans="1:5">
      <c r="A18" s="2"/>
      <c r="B18" s="9"/>
      <c r="C18" s="9"/>
    </row>
    <row r="19" spans="1:5">
      <c r="A19" s="2"/>
      <c r="B19" s="9"/>
      <c r="C19" s="9"/>
    </row>
    <row r="20" spans="1:5">
      <c r="A20" s="2"/>
      <c r="B20" s="9"/>
      <c r="C20" s="9"/>
    </row>
    <row r="21" spans="1:5" s="13" customFormat="1">
      <c r="A21" s="2"/>
      <c r="B21" s="9"/>
      <c r="C21" s="9"/>
      <c r="D21" s="14"/>
      <c r="E21" s="14"/>
    </row>
    <row r="22" spans="1:5" s="13" customFormat="1">
      <c r="A22" s="24"/>
      <c r="B22" s="9"/>
      <c r="C22" s="9"/>
      <c r="D22" s="14"/>
      <c r="E22" s="14"/>
    </row>
    <row r="23" spans="1:5" s="13" customFormat="1" ht="12.75">
      <c r="A23" s="32"/>
      <c r="B23" s="9"/>
      <c r="C23" s="9"/>
      <c r="D23" s="14"/>
      <c r="E23" s="14"/>
    </row>
    <row r="24" spans="1:5">
      <c r="A24" s="14"/>
    </row>
    <row r="25" spans="1:5">
      <c r="A25" s="14"/>
      <c r="B25" s="15"/>
      <c r="C25" s="16"/>
    </row>
    <row r="26" spans="1:5">
      <c r="A26" s="14"/>
      <c r="B26" s="15"/>
      <c r="C26" s="16"/>
    </row>
    <row r="27" spans="1:5" ht="7.5" customHeight="1">
      <c r="A27" s="14"/>
      <c r="B27" s="15"/>
      <c r="C27" s="16"/>
    </row>
    <row r="28" spans="1:5" ht="26.25" customHeight="1">
      <c r="A28" s="12"/>
      <c r="B28" s="466" t="s">
        <v>188</v>
      </c>
      <c r="C28" s="467"/>
      <c r="D28" s="467"/>
    </row>
    <row r="29" spans="1:5">
      <c r="A29" s="33"/>
      <c r="C29" s="18"/>
    </row>
    <row r="30" spans="1:5" ht="20.25" customHeight="1">
      <c r="A30" s="34"/>
      <c r="B30" s="463"/>
      <c r="C30" s="463"/>
      <c r="D30" s="463"/>
    </row>
    <row r="31" spans="1:5" ht="15">
      <c r="A31" s="19"/>
    </row>
    <row r="32" spans="1:5" ht="15">
      <c r="A32" s="19"/>
    </row>
    <row r="33" spans="1:5">
      <c r="A33" s="20"/>
    </row>
    <row r="34" spans="1:5">
      <c r="A34" s="20"/>
    </row>
    <row r="35" spans="1:5">
      <c r="A35" s="20"/>
    </row>
    <row r="36" spans="1:5" s="10" customFormat="1" ht="14.25" customHeight="1">
      <c r="A36" s="20"/>
      <c r="B36" s="89"/>
      <c r="C36" s="90"/>
      <c r="D36" s="91"/>
      <c r="E36" s="88"/>
    </row>
    <row r="37" spans="1:5">
      <c r="A37" s="20"/>
      <c r="D37" s="42"/>
      <c r="E37" s="42"/>
    </row>
    <row r="38" spans="1:5">
      <c r="A38" s="20"/>
      <c r="D38" s="42"/>
      <c r="E38" s="42"/>
    </row>
    <row r="39" spans="1:5">
      <c r="A39" s="20"/>
      <c r="D39" s="42"/>
      <c r="E39" s="42"/>
    </row>
    <row r="40" spans="1:5">
      <c r="A40" s="20"/>
      <c r="D40" s="42"/>
      <c r="E40" s="42"/>
    </row>
    <row r="41" spans="1:5">
      <c r="A41" s="20"/>
      <c r="D41" s="42"/>
      <c r="E41" s="42"/>
    </row>
    <row r="42" spans="1:5" ht="12.75">
      <c r="A42" s="20"/>
      <c r="B42" s="168" t="s">
        <v>54</v>
      </c>
      <c r="C42" s="165"/>
      <c r="D42" s="461">
        <f>F83</f>
        <v>0</v>
      </c>
      <c r="E42" s="461"/>
    </row>
    <row r="43" spans="1:5" ht="14.25" customHeight="1">
      <c r="A43" s="20"/>
      <c r="B43" s="155"/>
      <c r="C43" s="152"/>
      <c r="D43" s="153"/>
      <c r="E43" s="153"/>
    </row>
    <row r="44" spans="1:5" ht="14.25" customHeight="1">
      <c r="A44" s="20"/>
      <c r="B44" s="169" t="s">
        <v>55</v>
      </c>
      <c r="C44" s="165"/>
      <c r="D44" s="461">
        <f>0.21*D42</f>
        <v>0</v>
      </c>
      <c r="E44" s="461"/>
    </row>
    <row r="45" spans="1:5" ht="15" customHeight="1">
      <c r="A45" s="20"/>
      <c r="B45" s="155"/>
      <c r="C45" s="152"/>
      <c r="D45" s="153"/>
      <c r="E45" s="153"/>
    </row>
    <row r="46" spans="1:5" ht="12.75">
      <c r="A46" s="20"/>
      <c r="B46" s="166" t="s">
        <v>56</v>
      </c>
      <c r="C46" s="167"/>
      <c r="D46" s="465">
        <f>SUM(D42:E44)</f>
        <v>0</v>
      </c>
      <c r="E46" s="465"/>
    </row>
    <row r="47" spans="1:5">
      <c r="A47" s="20"/>
    </row>
    <row r="49" spans="2:3" s="9" customFormat="1">
      <c r="B49" s="10"/>
      <c r="C49" s="11"/>
    </row>
    <row r="50" spans="2:3" s="9" customFormat="1">
      <c r="B50" s="10"/>
      <c r="C50" s="11"/>
    </row>
    <row r="51" spans="2:3" s="9" customFormat="1">
      <c r="B51" s="10"/>
      <c r="C51" s="11"/>
    </row>
    <row r="52" spans="2:3" s="9" customFormat="1">
      <c r="B52" s="10"/>
      <c r="C52" s="11"/>
    </row>
    <row r="53" spans="2:3" s="9" customFormat="1">
      <c r="B53" s="10"/>
      <c r="C53" s="11"/>
    </row>
    <row r="54" spans="2:3" s="9" customFormat="1">
      <c r="B54" s="10"/>
      <c r="C54" s="11"/>
    </row>
    <row r="55" spans="2:3" s="9" customFormat="1">
      <c r="B55" s="10"/>
      <c r="C55" s="11"/>
    </row>
    <row r="56" spans="2:3" s="9" customFormat="1">
      <c r="B56" s="10"/>
      <c r="C56" s="11"/>
    </row>
    <row r="57" spans="2:3" s="9" customFormat="1">
      <c r="B57" s="10"/>
      <c r="C57" s="11"/>
    </row>
    <row r="58" spans="2:3" s="9" customFormat="1">
      <c r="B58" s="10"/>
      <c r="C58" s="11"/>
    </row>
    <row r="62" spans="2:3" s="9" customFormat="1">
      <c r="B62" s="10"/>
      <c r="C62" s="11"/>
    </row>
    <row r="63" spans="2:3" s="9" customFormat="1">
      <c r="B63" s="10"/>
      <c r="C63" s="11"/>
    </row>
    <row r="64" spans="2:3" s="9" customFormat="1">
      <c r="B64" s="10"/>
      <c r="C64" s="11"/>
    </row>
    <row r="66" spans="1:7">
      <c r="B66" s="132" t="s">
        <v>52</v>
      </c>
    </row>
    <row r="67" spans="1:7">
      <c r="B67" s="155"/>
    </row>
    <row r="68" spans="1:7">
      <c r="B68" s="132" t="s">
        <v>187</v>
      </c>
    </row>
    <row r="69" spans="1:7" ht="13.5" customHeight="1"/>
    <row r="70" spans="1:7" ht="13.5" customHeight="1"/>
    <row r="71" spans="1:7" ht="13.5" customHeight="1"/>
    <row r="72" spans="1:7" ht="13.5" customHeight="1"/>
    <row r="73" spans="1:7" ht="13.5" customHeight="1"/>
    <row r="77" spans="1:7">
      <c r="A77" s="21"/>
      <c r="B77" s="156" t="str">
        <f>A1</f>
        <v>Nová přípojka termální vody pro AQUACENTRUM Teplice</v>
      </c>
      <c r="C77" s="157"/>
      <c r="D77" s="92"/>
      <c r="E77" s="464" t="s">
        <v>41</v>
      </c>
      <c r="F77" s="464"/>
      <c r="G77" s="29"/>
    </row>
    <row r="78" spans="1:7">
      <c r="A78" s="22"/>
      <c r="B78" s="132" t="str">
        <f>A2</f>
        <v>Strojovna tepelných čerpadel</v>
      </c>
      <c r="C78" s="158"/>
      <c r="D78" s="94"/>
      <c r="E78" s="457" t="s">
        <v>42</v>
      </c>
      <c r="F78" s="457"/>
      <c r="G78" s="27"/>
    </row>
    <row r="79" spans="1:7">
      <c r="A79" s="35"/>
      <c r="B79" s="159" t="str">
        <f>A3</f>
        <v xml:space="preserve"> 11/2022</v>
      </c>
      <c r="C79" s="160"/>
      <c r="D79" s="96"/>
      <c r="E79" s="161"/>
      <c r="F79" s="160" t="s">
        <v>43</v>
      </c>
      <c r="G79" s="27"/>
    </row>
    <row r="80" spans="1:7">
      <c r="A80" s="97"/>
      <c r="B80" s="93"/>
      <c r="C80" s="98"/>
      <c r="D80" s="94"/>
      <c r="E80" s="99"/>
      <c r="F80" s="98"/>
      <c r="G80" s="27"/>
    </row>
    <row r="81" spans="1:7" ht="12" customHeight="1">
      <c r="A81" s="37" t="s">
        <v>45</v>
      </c>
      <c r="B81" s="38" t="s">
        <v>46</v>
      </c>
      <c r="C81" s="37" t="s">
        <v>47</v>
      </c>
      <c r="D81" s="37" t="s">
        <v>48</v>
      </c>
      <c r="E81" s="37" t="s">
        <v>49</v>
      </c>
      <c r="F81" s="39" t="s">
        <v>50</v>
      </c>
      <c r="G81" s="36"/>
    </row>
    <row r="82" spans="1:7">
      <c r="A82" s="37"/>
      <c r="B82" s="38"/>
      <c r="C82" s="37"/>
      <c r="D82" s="37"/>
      <c r="E82" s="37" t="s">
        <v>51</v>
      </c>
      <c r="F82" s="39" t="s">
        <v>51</v>
      </c>
      <c r="G82" s="27"/>
    </row>
    <row r="83" spans="1:7">
      <c r="A83" s="37"/>
      <c r="B83" s="85" t="s">
        <v>53</v>
      </c>
      <c r="C83" s="86"/>
      <c r="D83" s="86"/>
      <c r="E83" s="86"/>
      <c r="F83" s="87">
        <f>F85+F95+F112+F118+F144+F149+F152+F166+F172+F175</f>
        <v>0</v>
      </c>
      <c r="G83" s="27"/>
    </row>
    <row r="84" spans="1:7">
      <c r="A84" s="37"/>
      <c r="B84" s="40"/>
      <c r="C84" s="37"/>
      <c r="D84" s="37"/>
      <c r="E84" s="37"/>
      <c r="F84" s="39"/>
      <c r="G84" s="27"/>
    </row>
    <row r="85" spans="1:7">
      <c r="A85" s="100"/>
      <c r="B85" s="101" t="s">
        <v>88</v>
      </c>
      <c r="C85" s="102"/>
      <c r="D85" s="102"/>
      <c r="E85" s="102"/>
      <c r="F85" s="103">
        <f>SUM(F86:F93)</f>
        <v>0</v>
      </c>
      <c r="G85" s="27"/>
    </row>
    <row r="86" spans="1:7">
      <c r="A86" s="104" t="s">
        <v>127</v>
      </c>
      <c r="B86" s="105" t="s">
        <v>38</v>
      </c>
      <c r="C86" s="106" t="s">
        <v>7</v>
      </c>
      <c r="D86" s="107">
        <v>35</v>
      </c>
      <c r="E86" s="107"/>
      <c r="F86" s="108">
        <f t="shared" ref="F86:F93" si="0">ROUND(E86*D86,2)</f>
        <v>0</v>
      </c>
      <c r="G86" s="27"/>
    </row>
    <row r="87" spans="1:7">
      <c r="A87" s="104" t="s">
        <v>128</v>
      </c>
      <c r="B87" s="105" t="s">
        <v>8</v>
      </c>
      <c r="C87" s="109" t="s">
        <v>7</v>
      </c>
      <c r="D87" s="110">
        <v>50</v>
      </c>
      <c r="E87" s="110"/>
      <c r="F87" s="111">
        <f t="shared" si="0"/>
        <v>0</v>
      </c>
      <c r="G87" s="27"/>
    </row>
    <row r="88" spans="1:7">
      <c r="A88" s="104" t="s">
        <v>129</v>
      </c>
      <c r="B88" s="105" t="s">
        <v>39</v>
      </c>
      <c r="C88" s="109" t="s">
        <v>40</v>
      </c>
      <c r="D88" s="112">
        <v>20</v>
      </c>
      <c r="E88" s="110"/>
      <c r="F88" s="111">
        <f t="shared" si="0"/>
        <v>0</v>
      </c>
      <c r="G88" s="27"/>
    </row>
    <row r="89" spans="1:7">
      <c r="A89" s="104" t="s">
        <v>130</v>
      </c>
      <c r="B89" s="105" t="s">
        <v>84</v>
      </c>
      <c r="C89" s="109" t="s">
        <v>7</v>
      </c>
      <c r="D89" s="110">
        <v>85</v>
      </c>
      <c r="E89" s="110"/>
      <c r="F89" s="111">
        <f t="shared" si="0"/>
        <v>0</v>
      </c>
      <c r="G89" s="27"/>
    </row>
    <row r="90" spans="1:7">
      <c r="A90" s="104" t="s">
        <v>131</v>
      </c>
      <c r="B90" s="105" t="s">
        <v>86</v>
      </c>
      <c r="C90" s="109" t="s">
        <v>7</v>
      </c>
      <c r="D90" s="110">
        <v>25</v>
      </c>
      <c r="E90" s="110"/>
      <c r="F90" s="111">
        <f t="shared" si="0"/>
        <v>0</v>
      </c>
      <c r="G90" s="27"/>
    </row>
    <row r="91" spans="1:7">
      <c r="A91" s="104" t="s">
        <v>124</v>
      </c>
      <c r="B91" s="105" t="s">
        <v>85</v>
      </c>
      <c r="C91" s="109" t="s">
        <v>7</v>
      </c>
      <c r="D91" s="110">
        <v>70</v>
      </c>
      <c r="E91" s="110"/>
      <c r="F91" s="111">
        <f t="shared" si="0"/>
        <v>0</v>
      </c>
      <c r="G91" s="27"/>
    </row>
    <row r="92" spans="1:7">
      <c r="A92" s="104" t="s">
        <v>132</v>
      </c>
      <c r="B92" s="105" t="s">
        <v>89</v>
      </c>
      <c r="C92" s="109" t="s">
        <v>7</v>
      </c>
      <c r="D92" s="110">
        <v>70</v>
      </c>
      <c r="E92" s="110"/>
      <c r="F92" s="111">
        <f t="shared" si="0"/>
        <v>0</v>
      </c>
      <c r="G92" s="27"/>
    </row>
    <row r="93" spans="1:7">
      <c r="A93" s="104" t="s">
        <v>133</v>
      </c>
      <c r="B93" s="105" t="s">
        <v>9</v>
      </c>
      <c r="C93" s="113" t="s">
        <v>10</v>
      </c>
      <c r="D93" s="114">
        <v>1.6659999999999999</v>
      </c>
      <c r="E93" s="110"/>
      <c r="F93" s="111">
        <f t="shared" si="0"/>
        <v>0</v>
      </c>
      <c r="G93" s="27"/>
    </row>
    <row r="94" spans="1:7">
      <c r="A94" s="115"/>
      <c r="B94" s="116"/>
      <c r="C94" s="113"/>
      <c r="D94" s="114"/>
      <c r="E94" s="117"/>
      <c r="F94" s="118"/>
      <c r="G94" s="27"/>
    </row>
    <row r="95" spans="1:7">
      <c r="A95" s="119"/>
      <c r="B95" s="101" t="s">
        <v>0</v>
      </c>
      <c r="C95" s="101"/>
      <c r="D95" s="120"/>
      <c r="E95" s="121"/>
      <c r="F95" s="468">
        <f>SUM(F96:F110)</f>
        <v>0</v>
      </c>
      <c r="G95" s="28"/>
    </row>
    <row r="96" spans="1:7">
      <c r="A96" s="123" t="s">
        <v>134</v>
      </c>
      <c r="B96" s="105" t="s">
        <v>11</v>
      </c>
      <c r="C96" s="109" t="s">
        <v>14</v>
      </c>
      <c r="D96" s="110">
        <v>2</v>
      </c>
      <c r="E96" s="110"/>
      <c r="F96" s="111">
        <f t="shared" ref="F96:F110" si="1">ROUND(E96*D96,2)</f>
        <v>0</v>
      </c>
      <c r="G96" s="26"/>
    </row>
    <row r="97" spans="1:7">
      <c r="A97" s="123" t="s">
        <v>135</v>
      </c>
      <c r="B97" s="105" t="s">
        <v>60</v>
      </c>
      <c r="C97" s="109" t="s">
        <v>14</v>
      </c>
      <c r="D97" s="110">
        <v>1</v>
      </c>
      <c r="E97" s="110"/>
      <c r="F97" s="111">
        <f t="shared" si="1"/>
        <v>0</v>
      </c>
      <c r="G97" s="26"/>
    </row>
    <row r="98" spans="1:7">
      <c r="A98" s="123" t="s">
        <v>136</v>
      </c>
      <c r="B98" s="105" t="s">
        <v>61</v>
      </c>
      <c r="C98" s="109" t="s">
        <v>14</v>
      </c>
      <c r="D98" s="110">
        <v>1</v>
      </c>
      <c r="E98" s="110"/>
      <c r="F98" s="111">
        <f t="shared" si="1"/>
        <v>0</v>
      </c>
      <c r="G98" s="26"/>
    </row>
    <row r="99" spans="1:7">
      <c r="A99" s="123" t="s">
        <v>137</v>
      </c>
      <c r="B99" s="105" t="s">
        <v>81</v>
      </c>
      <c r="C99" s="109" t="s">
        <v>14</v>
      </c>
      <c r="D99" s="110">
        <v>6</v>
      </c>
      <c r="E99" s="110"/>
      <c r="F99" s="111">
        <f t="shared" si="1"/>
        <v>0</v>
      </c>
      <c r="G99" s="26"/>
    </row>
    <row r="100" spans="1:7" ht="11.25" customHeight="1">
      <c r="A100" s="123" t="s">
        <v>138</v>
      </c>
      <c r="B100" s="105" t="s">
        <v>70</v>
      </c>
      <c r="C100" s="109" t="s">
        <v>14</v>
      </c>
      <c r="D100" s="110">
        <v>1</v>
      </c>
      <c r="E100" s="110"/>
      <c r="F100" s="111">
        <f t="shared" si="1"/>
        <v>0</v>
      </c>
      <c r="G100" s="26"/>
    </row>
    <row r="101" spans="1:7" ht="11.25" customHeight="1">
      <c r="A101" s="123" t="s">
        <v>139</v>
      </c>
      <c r="B101" s="105" t="s">
        <v>71</v>
      </c>
      <c r="C101" s="109" t="s">
        <v>14</v>
      </c>
      <c r="D101" s="110">
        <v>1</v>
      </c>
      <c r="E101" s="110"/>
      <c r="F101" s="111">
        <f t="shared" si="1"/>
        <v>0</v>
      </c>
      <c r="G101" s="26"/>
    </row>
    <row r="102" spans="1:7">
      <c r="A102" s="123" t="s">
        <v>140</v>
      </c>
      <c r="B102" s="105" t="s">
        <v>73</v>
      </c>
      <c r="C102" s="109" t="s">
        <v>14</v>
      </c>
      <c r="D102" s="110">
        <v>3</v>
      </c>
      <c r="E102" s="110"/>
      <c r="F102" s="111">
        <f t="shared" si="1"/>
        <v>0</v>
      </c>
      <c r="G102" s="26"/>
    </row>
    <row r="103" spans="1:7">
      <c r="A103" s="123" t="s">
        <v>141</v>
      </c>
      <c r="B103" s="105" t="s">
        <v>58</v>
      </c>
      <c r="C103" s="109"/>
      <c r="D103" s="110">
        <v>1</v>
      </c>
      <c r="E103" s="110"/>
      <c r="F103" s="111">
        <f t="shared" si="1"/>
        <v>0</v>
      </c>
      <c r="G103" s="26"/>
    </row>
    <row r="104" spans="1:7">
      <c r="A104" s="123" t="s">
        <v>142</v>
      </c>
      <c r="B104" s="105" t="s">
        <v>59</v>
      </c>
      <c r="C104" s="109" t="s">
        <v>14</v>
      </c>
      <c r="D104" s="110">
        <v>2</v>
      </c>
      <c r="E104" s="110"/>
      <c r="F104" s="111">
        <f t="shared" si="1"/>
        <v>0</v>
      </c>
      <c r="G104" s="26"/>
    </row>
    <row r="105" spans="1:7">
      <c r="A105" s="123" t="s">
        <v>143</v>
      </c>
      <c r="B105" s="105" t="s">
        <v>33</v>
      </c>
      <c r="C105" s="109" t="s">
        <v>14</v>
      </c>
      <c r="D105" s="110">
        <v>2</v>
      </c>
      <c r="E105" s="110"/>
      <c r="F105" s="111">
        <f t="shared" si="1"/>
        <v>0</v>
      </c>
      <c r="G105" s="26"/>
    </row>
    <row r="106" spans="1:7" ht="15" customHeight="1">
      <c r="A106" s="123" t="s">
        <v>144</v>
      </c>
      <c r="B106" s="105" t="s">
        <v>34</v>
      </c>
      <c r="C106" s="109" t="s">
        <v>14</v>
      </c>
      <c r="D106" s="110">
        <v>4</v>
      </c>
      <c r="E106" s="110"/>
      <c r="F106" s="111">
        <f t="shared" si="1"/>
        <v>0</v>
      </c>
      <c r="G106" s="26"/>
    </row>
    <row r="107" spans="1:7" ht="15" customHeight="1">
      <c r="A107" s="123" t="s">
        <v>145</v>
      </c>
      <c r="B107" s="116" t="s">
        <v>62</v>
      </c>
      <c r="C107" s="113" t="s">
        <v>14</v>
      </c>
      <c r="D107" s="117">
        <v>1</v>
      </c>
      <c r="E107" s="117"/>
      <c r="F107" s="111">
        <f t="shared" si="1"/>
        <v>0</v>
      </c>
      <c r="G107" s="26"/>
    </row>
    <row r="108" spans="1:7" ht="15" customHeight="1">
      <c r="A108" s="123" t="s">
        <v>146</v>
      </c>
      <c r="B108" s="105" t="s">
        <v>63</v>
      </c>
      <c r="C108" s="126" t="s">
        <v>64</v>
      </c>
      <c r="D108" s="127">
        <v>1</v>
      </c>
      <c r="E108" s="128"/>
      <c r="F108" s="111">
        <f t="shared" si="1"/>
        <v>0</v>
      </c>
      <c r="G108" s="26"/>
    </row>
    <row r="109" spans="1:7" ht="15" customHeight="1">
      <c r="A109" s="124" t="s">
        <v>147</v>
      </c>
      <c r="B109" s="105" t="s">
        <v>90</v>
      </c>
      <c r="C109" s="109" t="s">
        <v>10</v>
      </c>
      <c r="D109" s="125">
        <v>4</v>
      </c>
      <c r="E109" s="110"/>
      <c r="F109" s="111">
        <f t="shared" si="1"/>
        <v>0</v>
      </c>
      <c r="G109" s="26"/>
    </row>
    <row r="110" spans="1:7" ht="15" customHeight="1">
      <c r="A110" s="123" t="s">
        <v>148</v>
      </c>
      <c r="B110" s="105" t="s">
        <v>125</v>
      </c>
      <c r="C110" s="109" t="s">
        <v>126</v>
      </c>
      <c r="D110" s="125">
        <v>2</v>
      </c>
      <c r="E110" s="110"/>
      <c r="F110" s="111">
        <f t="shared" si="1"/>
        <v>0</v>
      </c>
      <c r="G110" s="26"/>
    </row>
    <row r="111" spans="1:7" ht="15" customHeight="1">
      <c r="A111" s="129"/>
      <c r="B111" s="130"/>
      <c r="C111" s="131"/>
      <c r="D111" s="132"/>
      <c r="E111" s="107"/>
      <c r="F111" s="133"/>
      <c r="G111" s="26"/>
    </row>
    <row r="112" spans="1:7">
      <c r="A112" s="134"/>
      <c r="B112" s="101" t="s">
        <v>87</v>
      </c>
      <c r="C112" s="135"/>
      <c r="D112" s="136"/>
      <c r="E112" s="137"/>
      <c r="F112" s="122">
        <f>SUM(F113:F116)</f>
        <v>0</v>
      </c>
      <c r="G112" s="28"/>
    </row>
    <row r="113" spans="1:7">
      <c r="A113" s="123" t="s">
        <v>149</v>
      </c>
      <c r="B113" s="105" t="s">
        <v>65</v>
      </c>
      <c r="C113" s="109" t="s">
        <v>7</v>
      </c>
      <c r="D113" s="110">
        <v>15</v>
      </c>
      <c r="E113" s="110"/>
      <c r="F113" s="111">
        <f t="shared" ref="F113:F116" si="2">ROUND(E113*D113,2)</f>
        <v>0</v>
      </c>
      <c r="G113" s="26"/>
    </row>
    <row r="114" spans="1:7">
      <c r="A114" s="123" t="s">
        <v>150</v>
      </c>
      <c r="B114" s="105" t="s">
        <v>13</v>
      </c>
      <c r="C114" s="109" t="s">
        <v>7</v>
      </c>
      <c r="D114" s="110">
        <v>35</v>
      </c>
      <c r="E114" s="110"/>
      <c r="F114" s="111">
        <f t="shared" si="2"/>
        <v>0</v>
      </c>
      <c r="G114" s="26"/>
    </row>
    <row r="115" spans="1:7">
      <c r="A115" s="123" t="s">
        <v>151</v>
      </c>
      <c r="B115" s="105" t="s">
        <v>35</v>
      </c>
      <c r="C115" s="109" t="s">
        <v>7</v>
      </c>
      <c r="D115" s="110">
        <v>22</v>
      </c>
      <c r="E115" s="110"/>
      <c r="F115" s="111">
        <f t="shared" si="2"/>
        <v>0</v>
      </c>
      <c r="G115" s="26"/>
    </row>
    <row r="116" spans="1:7">
      <c r="A116" s="123" t="s">
        <v>152</v>
      </c>
      <c r="B116" s="105" t="s">
        <v>36</v>
      </c>
      <c r="C116" s="109" t="s">
        <v>7</v>
      </c>
      <c r="D116" s="110">
        <v>72</v>
      </c>
      <c r="E116" s="110"/>
      <c r="F116" s="111">
        <f t="shared" si="2"/>
        <v>0</v>
      </c>
      <c r="G116" s="26"/>
    </row>
    <row r="117" spans="1:7">
      <c r="A117" s="138"/>
      <c r="B117" s="132"/>
      <c r="C117" s="113"/>
      <c r="D117" s="117"/>
      <c r="E117" s="117"/>
      <c r="F117" s="118"/>
      <c r="G117" s="26"/>
    </row>
    <row r="118" spans="1:7">
      <c r="A118" s="139"/>
      <c r="B118" s="140" t="s">
        <v>1</v>
      </c>
      <c r="C118" s="140"/>
      <c r="D118" s="86"/>
      <c r="E118" s="87"/>
      <c r="F118" s="122">
        <f>SUM(F119:F142)</f>
        <v>0</v>
      </c>
      <c r="G118" s="28"/>
    </row>
    <row r="119" spans="1:7">
      <c r="A119" s="123" t="s">
        <v>153</v>
      </c>
      <c r="B119" s="105" t="s">
        <v>15</v>
      </c>
      <c r="C119" s="109" t="s">
        <v>12</v>
      </c>
      <c r="D119" s="110">
        <v>2</v>
      </c>
      <c r="E119" s="110"/>
      <c r="F119" s="111">
        <f t="shared" ref="F119:F142" si="3">ROUND(E119*D119,2)</f>
        <v>0</v>
      </c>
      <c r="G119" s="26"/>
    </row>
    <row r="120" spans="1:7">
      <c r="A120" s="123" t="s">
        <v>154</v>
      </c>
      <c r="B120" s="105" t="s">
        <v>37</v>
      </c>
      <c r="C120" s="109" t="s">
        <v>12</v>
      </c>
      <c r="D120" s="110">
        <v>3</v>
      </c>
      <c r="E120" s="110"/>
      <c r="F120" s="111">
        <f t="shared" si="3"/>
        <v>0</v>
      </c>
      <c r="G120" s="26"/>
    </row>
    <row r="121" spans="1:7">
      <c r="A121" s="123" t="s">
        <v>155</v>
      </c>
      <c r="B121" s="105" t="s">
        <v>16</v>
      </c>
      <c r="C121" s="109" t="s">
        <v>14</v>
      </c>
      <c r="D121" s="110">
        <v>5</v>
      </c>
      <c r="E121" s="110"/>
      <c r="F121" s="111">
        <f t="shared" si="3"/>
        <v>0</v>
      </c>
      <c r="G121" s="26"/>
    </row>
    <row r="122" spans="1:7">
      <c r="A122" s="123" t="s">
        <v>156</v>
      </c>
      <c r="B122" s="105" t="s">
        <v>75</v>
      </c>
      <c r="C122" s="109" t="s">
        <v>14</v>
      </c>
      <c r="D122" s="110">
        <v>1</v>
      </c>
      <c r="E122" s="110"/>
      <c r="F122" s="111">
        <f t="shared" si="3"/>
        <v>0</v>
      </c>
      <c r="G122" s="26"/>
    </row>
    <row r="123" spans="1:7">
      <c r="A123" s="123" t="s">
        <v>157</v>
      </c>
      <c r="B123" s="105" t="s">
        <v>186</v>
      </c>
      <c r="C123" s="109" t="s">
        <v>14</v>
      </c>
      <c r="D123" s="110">
        <v>3</v>
      </c>
      <c r="E123" s="110"/>
      <c r="F123" s="111">
        <f t="shared" si="3"/>
        <v>0</v>
      </c>
      <c r="G123" s="26"/>
    </row>
    <row r="124" spans="1:7">
      <c r="A124" s="123" t="s">
        <v>158</v>
      </c>
      <c r="B124" s="105" t="s">
        <v>77</v>
      </c>
      <c r="C124" s="109" t="s">
        <v>14</v>
      </c>
      <c r="D124" s="110">
        <v>1</v>
      </c>
      <c r="E124" s="110"/>
      <c r="F124" s="111">
        <f t="shared" si="3"/>
        <v>0</v>
      </c>
      <c r="G124" s="26"/>
    </row>
    <row r="125" spans="1:7">
      <c r="A125" s="123" t="s">
        <v>159</v>
      </c>
      <c r="B125" s="105" t="s">
        <v>76</v>
      </c>
      <c r="C125" s="109" t="s">
        <v>14</v>
      </c>
      <c r="D125" s="110">
        <v>1</v>
      </c>
      <c r="E125" s="110"/>
      <c r="F125" s="111">
        <f t="shared" si="3"/>
        <v>0</v>
      </c>
      <c r="G125" s="26"/>
    </row>
    <row r="126" spans="1:7">
      <c r="A126" s="123" t="s">
        <v>160</v>
      </c>
      <c r="B126" s="105" t="s">
        <v>17</v>
      </c>
      <c r="C126" s="109" t="s">
        <v>14</v>
      </c>
      <c r="D126" s="110">
        <v>7</v>
      </c>
      <c r="E126" s="110"/>
      <c r="F126" s="111">
        <f t="shared" si="3"/>
        <v>0</v>
      </c>
      <c r="G126" s="26"/>
    </row>
    <row r="127" spans="1:7">
      <c r="A127" s="123" t="s">
        <v>160</v>
      </c>
      <c r="B127" s="105" t="s">
        <v>18</v>
      </c>
      <c r="C127" s="109" t="s">
        <v>14</v>
      </c>
      <c r="D127" s="110">
        <v>4</v>
      </c>
      <c r="E127" s="110"/>
      <c r="F127" s="111">
        <f t="shared" si="3"/>
        <v>0</v>
      </c>
      <c r="G127" s="26"/>
    </row>
    <row r="128" spans="1:7">
      <c r="A128" s="123" t="s">
        <v>161</v>
      </c>
      <c r="B128" s="105" t="s">
        <v>19</v>
      </c>
      <c r="C128" s="109" t="s">
        <v>14</v>
      </c>
      <c r="D128" s="110">
        <v>2</v>
      </c>
      <c r="E128" s="110"/>
      <c r="F128" s="111">
        <f t="shared" si="3"/>
        <v>0</v>
      </c>
      <c r="G128" s="26"/>
    </row>
    <row r="129" spans="1:7">
      <c r="A129" s="123" t="s">
        <v>162</v>
      </c>
      <c r="B129" s="105" t="s">
        <v>20</v>
      </c>
      <c r="C129" s="109" t="s">
        <v>14</v>
      </c>
      <c r="D129" s="110">
        <v>8</v>
      </c>
      <c r="E129" s="110"/>
      <c r="F129" s="111">
        <f t="shared" si="3"/>
        <v>0</v>
      </c>
      <c r="G129" s="26"/>
    </row>
    <row r="130" spans="1:7">
      <c r="A130" s="123" t="s">
        <v>163</v>
      </c>
      <c r="B130" s="105" t="s">
        <v>74</v>
      </c>
      <c r="C130" s="109" t="s">
        <v>14</v>
      </c>
      <c r="D130" s="110">
        <v>1</v>
      </c>
      <c r="E130" s="110"/>
      <c r="F130" s="111">
        <f t="shared" si="3"/>
        <v>0</v>
      </c>
      <c r="G130" s="26"/>
    </row>
    <row r="131" spans="1:7">
      <c r="A131" s="123" t="s">
        <v>164</v>
      </c>
      <c r="B131" s="105" t="s">
        <v>66</v>
      </c>
      <c r="C131" s="109" t="s">
        <v>14</v>
      </c>
      <c r="D131" s="110">
        <v>1</v>
      </c>
      <c r="E131" s="110"/>
      <c r="F131" s="111">
        <f t="shared" ref="F131" si="4">ROUND(E131*D131,2)</f>
        <v>0</v>
      </c>
      <c r="G131" s="26"/>
    </row>
    <row r="132" spans="1:7">
      <c r="A132" s="123" t="s">
        <v>165</v>
      </c>
      <c r="B132" s="105" t="s">
        <v>67</v>
      </c>
      <c r="C132" s="109" t="s">
        <v>14</v>
      </c>
      <c r="D132" s="110">
        <v>4</v>
      </c>
      <c r="E132" s="110"/>
      <c r="F132" s="111">
        <f t="shared" ref="F132" si="5">ROUND(E132*D132,2)</f>
        <v>0</v>
      </c>
      <c r="G132" s="26"/>
    </row>
    <row r="133" spans="1:7">
      <c r="A133" s="123" t="s">
        <v>166</v>
      </c>
      <c r="B133" s="105" t="s">
        <v>68</v>
      </c>
      <c r="C133" s="109" t="s">
        <v>14</v>
      </c>
      <c r="D133" s="110">
        <v>6</v>
      </c>
      <c r="E133" s="110"/>
      <c r="F133" s="111">
        <f t="shared" ref="F133" si="6">ROUND(E133*D133,2)</f>
        <v>0</v>
      </c>
      <c r="G133" s="26"/>
    </row>
    <row r="134" spans="1:7">
      <c r="A134" s="123" t="s">
        <v>167</v>
      </c>
      <c r="B134" s="105" t="s">
        <v>78</v>
      </c>
      <c r="C134" s="109" t="s">
        <v>14</v>
      </c>
      <c r="D134" s="110">
        <v>14</v>
      </c>
      <c r="E134" s="110"/>
      <c r="F134" s="111">
        <f t="shared" ref="F134:F135" si="7">ROUND(E134*D134,2)</f>
        <v>0</v>
      </c>
      <c r="G134" s="26"/>
    </row>
    <row r="135" spans="1:7">
      <c r="A135" s="123" t="s">
        <v>168</v>
      </c>
      <c r="B135" s="105" t="s">
        <v>69</v>
      </c>
      <c r="C135" s="109" t="s">
        <v>14</v>
      </c>
      <c r="D135" s="110">
        <v>1</v>
      </c>
      <c r="E135" s="110"/>
      <c r="F135" s="111">
        <f t="shared" si="7"/>
        <v>0</v>
      </c>
      <c r="G135" s="26"/>
    </row>
    <row r="136" spans="1:7">
      <c r="A136" s="123" t="s">
        <v>169</v>
      </c>
      <c r="B136" s="105" t="s">
        <v>57</v>
      </c>
      <c r="C136" s="109" t="s">
        <v>14</v>
      </c>
      <c r="D136" s="110">
        <v>18</v>
      </c>
      <c r="E136" s="110"/>
      <c r="F136" s="111">
        <f t="shared" si="3"/>
        <v>0</v>
      </c>
      <c r="G136" s="26"/>
    </row>
    <row r="137" spans="1:7">
      <c r="A137" s="123" t="s">
        <v>170</v>
      </c>
      <c r="B137" s="105" t="s">
        <v>21</v>
      </c>
      <c r="C137" s="109" t="s">
        <v>14</v>
      </c>
      <c r="D137" s="110">
        <v>9</v>
      </c>
      <c r="E137" s="110"/>
      <c r="F137" s="111">
        <f t="shared" si="3"/>
        <v>0</v>
      </c>
      <c r="G137" s="26"/>
    </row>
    <row r="138" spans="1:7">
      <c r="A138" s="123" t="s">
        <v>171</v>
      </c>
      <c r="B138" s="105" t="s">
        <v>79</v>
      </c>
      <c r="C138" s="109" t="s">
        <v>14</v>
      </c>
      <c r="D138" s="110">
        <v>9</v>
      </c>
      <c r="E138" s="110"/>
      <c r="F138" s="111">
        <f t="shared" si="3"/>
        <v>0</v>
      </c>
      <c r="G138" s="26"/>
    </row>
    <row r="139" spans="1:7">
      <c r="A139" s="123" t="s">
        <v>172</v>
      </c>
      <c r="B139" s="105" t="s">
        <v>80</v>
      </c>
      <c r="C139" s="109" t="s">
        <v>14</v>
      </c>
      <c r="D139" s="110">
        <v>37</v>
      </c>
      <c r="E139" s="110"/>
      <c r="F139" s="111">
        <f t="shared" si="3"/>
        <v>0</v>
      </c>
      <c r="G139" s="26"/>
    </row>
    <row r="140" spans="1:7" ht="12" customHeight="1">
      <c r="A140" s="123" t="s">
        <v>173</v>
      </c>
      <c r="B140" s="105" t="s">
        <v>22</v>
      </c>
      <c r="C140" s="109" t="s">
        <v>14</v>
      </c>
      <c r="D140" s="110">
        <v>4</v>
      </c>
      <c r="E140" s="110"/>
      <c r="F140" s="111">
        <f t="shared" si="3"/>
        <v>0</v>
      </c>
      <c r="G140" s="26"/>
    </row>
    <row r="141" spans="1:7" ht="12" customHeight="1">
      <c r="A141" s="123" t="s">
        <v>174</v>
      </c>
      <c r="B141" s="105" t="s">
        <v>82</v>
      </c>
      <c r="C141" s="109" t="s">
        <v>7</v>
      </c>
      <c r="D141" s="110">
        <v>4</v>
      </c>
      <c r="E141" s="110"/>
      <c r="F141" s="111">
        <f t="shared" si="3"/>
        <v>0</v>
      </c>
      <c r="G141" s="26"/>
    </row>
    <row r="142" spans="1:7">
      <c r="A142" s="228"/>
      <c r="B142" s="105" t="s">
        <v>83</v>
      </c>
      <c r="C142" s="109" t="s">
        <v>64</v>
      </c>
      <c r="D142" s="110">
        <v>1</v>
      </c>
      <c r="E142" s="110"/>
      <c r="F142" s="111">
        <f t="shared" si="3"/>
        <v>0</v>
      </c>
      <c r="G142" s="26"/>
    </row>
    <row r="143" spans="1:7">
      <c r="A143" s="132"/>
      <c r="B143" s="130"/>
      <c r="C143" s="131"/>
      <c r="D143" s="107"/>
      <c r="E143" s="107"/>
      <c r="F143" s="133"/>
      <c r="G143" s="26"/>
    </row>
    <row r="144" spans="1:7">
      <c r="A144" s="139"/>
      <c r="B144" s="140" t="s">
        <v>1353</v>
      </c>
      <c r="C144" s="140"/>
      <c r="D144" s="86"/>
      <c r="E144" s="87"/>
      <c r="F144" s="122">
        <f>+F145</f>
        <v>0</v>
      </c>
      <c r="G144" s="28"/>
    </row>
    <row r="145" spans="1:7">
      <c r="A145" s="123"/>
      <c r="B145" s="105" t="s">
        <v>1354</v>
      </c>
      <c r="C145" s="109" t="s">
        <v>12</v>
      </c>
      <c r="D145" s="110">
        <v>1</v>
      </c>
      <c r="E145" s="110"/>
      <c r="F145" s="111">
        <f t="shared" ref="F145" si="8">ROUND(E145*D145,2)</f>
        <v>0</v>
      </c>
      <c r="G145" s="26"/>
    </row>
    <row r="146" spans="1:7" ht="13.5">
      <c r="A146" s="123"/>
      <c r="B146" s="395" t="s">
        <v>297</v>
      </c>
      <c r="C146" s="109"/>
      <c r="D146" s="110"/>
      <c r="E146" s="110"/>
      <c r="F146" s="111"/>
      <c r="G146" s="26"/>
    </row>
    <row r="147" spans="1:7" ht="13.5">
      <c r="A147" s="123"/>
      <c r="B147" s="396" t="s">
        <v>298</v>
      </c>
      <c r="C147" s="109"/>
      <c r="D147" s="110"/>
      <c r="E147" s="110"/>
      <c r="F147" s="111"/>
      <c r="G147" s="26"/>
    </row>
    <row r="148" spans="1:7" ht="13.5">
      <c r="A148" s="138"/>
      <c r="B148" s="393"/>
      <c r="C148" s="113"/>
      <c r="D148" s="117"/>
      <c r="E148" s="117"/>
      <c r="F148" s="118"/>
      <c r="G148" s="26"/>
    </row>
    <row r="149" spans="1:7">
      <c r="A149" s="104"/>
      <c r="B149" s="101" t="s">
        <v>2</v>
      </c>
      <c r="C149" s="101"/>
      <c r="D149" s="120"/>
      <c r="E149" s="121"/>
      <c r="F149" s="394">
        <f>SUM(F150)</f>
        <v>0</v>
      </c>
      <c r="G149" s="26"/>
    </row>
    <row r="150" spans="1:7">
      <c r="A150" s="123" t="s">
        <v>175</v>
      </c>
      <c r="B150" s="105" t="s">
        <v>123</v>
      </c>
      <c r="C150" s="109" t="s">
        <v>23</v>
      </c>
      <c r="D150" s="110">
        <v>50</v>
      </c>
      <c r="E150" s="110"/>
      <c r="F150" s="111">
        <f t="shared" ref="F150" si="9">ROUND(E150*D150,2)</f>
        <v>0</v>
      </c>
      <c r="G150" s="26"/>
    </row>
    <row r="151" spans="1:7">
      <c r="A151" s="138"/>
      <c r="B151" s="132"/>
      <c r="C151" s="131"/>
      <c r="D151" s="107"/>
      <c r="E151" s="107"/>
      <c r="F151" s="133"/>
      <c r="G151" s="28"/>
    </row>
    <row r="152" spans="1:7">
      <c r="A152" s="104"/>
      <c r="B152" s="141" t="s">
        <v>3</v>
      </c>
      <c r="C152" s="141"/>
      <c r="D152" s="142"/>
      <c r="E152" s="142"/>
      <c r="F152" s="468">
        <f>SUM(F153:F155)</f>
        <v>0</v>
      </c>
      <c r="G152" s="26"/>
    </row>
    <row r="153" spans="1:7">
      <c r="A153" s="123" t="s">
        <v>176</v>
      </c>
      <c r="B153" s="105" t="s">
        <v>24</v>
      </c>
      <c r="C153" s="109" t="s">
        <v>7</v>
      </c>
      <c r="D153" s="110">
        <v>59</v>
      </c>
      <c r="E153" s="110"/>
      <c r="F153" s="111">
        <f t="shared" ref="F153:F154" si="10">ROUND(E153*D153,2)</f>
        <v>0</v>
      </c>
      <c r="G153" s="26"/>
    </row>
    <row r="154" spans="1:7">
      <c r="A154" s="123" t="s">
        <v>177</v>
      </c>
      <c r="B154" s="105" t="s">
        <v>25</v>
      </c>
      <c r="C154" s="109" t="s">
        <v>7</v>
      </c>
      <c r="D154" s="110">
        <v>59</v>
      </c>
      <c r="E154" s="110"/>
      <c r="F154" s="111">
        <f t="shared" si="10"/>
        <v>0</v>
      </c>
      <c r="G154" s="26"/>
    </row>
    <row r="155" spans="1:7">
      <c r="A155" s="123" t="s">
        <v>178</v>
      </c>
      <c r="B155" s="105" t="s">
        <v>26</v>
      </c>
      <c r="C155" s="109" t="s">
        <v>7</v>
      </c>
      <c r="D155" s="110">
        <v>59</v>
      </c>
      <c r="E155" s="110"/>
      <c r="F155" s="111">
        <f t="shared" ref="F155" si="11">ROUND(E155*D155,2)</f>
        <v>0</v>
      </c>
      <c r="G155" s="26"/>
    </row>
    <row r="156" spans="1:7">
      <c r="A156" s="139"/>
      <c r="B156" s="132"/>
      <c r="C156" s="131"/>
      <c r="D156" s="107"/>
      <c r="E156" s="107"/>
      <c r="F156" s="133"/>
      <c r="G156" s="26"/>
    </row>
    <row r="157" spans="1:7">
      <c r="A157" s="150"/>
      <c r="B157" s="132"/>
      <c r="C157" s="131"/>
      <c r="D157" s="107"/>
      <c r="E157" s="107"/>
      <c r="F157" s="133"/>
      <c r="G157" s="26"/>
    </row>
    <row r="158" spans="1:7">
      <c r="A158" s="132"/>
      <c r="B158" s="130"/>
      <c r="C158" s="131"/>
      <c r="D158" s="107"/>
      <c r="E158" s="107"/>
      <c r="F158" s="133"/>
      <c r="G158" s="26"/>
    </row>
    <row r="159" spans="1:7">
      <c r="A159" s="143"/>
      <c r="B159" s="156" t="str">
        <f>B77</f>
        <v>Nová přípojka termální vody pro AQUACENTRUM Teplice</v>
      </c>
      <c r="C159" s="157"/>
      <c r="D159" s="92"/>
      <c r="E159" s="464" t="s">
        <v>41</v>
      </c>
      <c r="F159" s="464"/>
      <c r="G159" s="26"/>
    </row>
    <row r="160" spans="1:7">
      <c r="A160" s="97"/>
      <c r="B160" s="132" t="str">
        <f>B78</f>
        <v>Strojovna tepelných čerpadel</v>
      </c>
      <c r="C160" s="158"/>
      <c r="D160" s="94"/>
      <c r="E160" s="457" t="s">
        <v>42</v>
      </c>
      <c r="F160" s="457"/>
      <c r="G160" s="26"/>
    </row>
    <row r="161" spans="1:7">
      <c r="A161" s="95"/>
      <c r="B161" s="159" t="str">
        <f>B79</f>
        <v xml:space="preserve"> 11/2022</v>
      </c>
      <c r="C161" s="160"/>
      <c r="D161" s="96"/>
      <c r="E161" s="161"/>
      <c r="F161" s="160" t="s">
        <v>43</v>
      </c>
      <c r="G161" s="26"/>
    </row>
    <row r="162" spans="1:7">
      <c r="A162" s="37" t="s">
        <v>45</v>
      </c>
      <c r="B162" s="132"/>
      <c r="C162" s="98"/>
      <c r="D162" s="94"/>
      <c r="E162" s="99"/>
      <c r="F162" s="98"/>
      <c r="G162" s="26"/>
    </row>
    <row r="163" spans="1:7">
      <c r="A163" s="37"/>
      <c r="B163" s="93"/>
      <c r="C163" s="37" t="s">
        <v>47</v>
      </c>
      <c r="D163" s="37" t="s">
        <v>48</v>
      </c>
      <c r="E163" s="37" t="s">
        <v>49</v>
      </c>
      <c r="F163" s="39" t="s">
        <v>50</v>
      </c>
      <c r="G163" s="26"/>
    </row>
    <row r="164" spans="1:7">
      <c r="A164" s="37"/>
      <c r="B164" s="38" t="s">
        <v>46</v>
      </c>
      <c r="C164" s="37"/>
      <c r="D164" s="37"/>
      <c r="E164" s="37" t="s">
        <v>51</v>
      </c>
      <c r="F164" s="39" t="s">
        <v>51</v>
      </c>
      <c r="G164" s="26"/>
    </row>
    <row r="165" spans="1:7">
      <c r="A165" s="37"/>
      <c r="B165" s="38"/>
      <c r="C165" s="37"/>
      <c r="D165" s="37"/>
      <c r="E165" s="37"/>
      <c r="F165" s="39"/>
      <c r="G165" s="26"/>
    </row>
    <row r="166" spans="1:7">
      <c r="A166" s="123" t="s">
        <v>179</v>
      </c>
      <c r="B166" s="144" t="s">
        <v>4</v>
      </c>
      <c r="C166" s="144"/>
      <c r="D166" s="145"/>
      <c r="E166" s="145"/>
      <c r="F166" s="469">
        <f>SUM(F167:F170)</f>
        <v>0</v>
      </c>
      <c r="G166" s="26"/>
    </row>
    <row r="167" spans="1:7">
      <c r="A167" s="123" t="s">
        <v>180</v>
      </c>
      <c r="B167" s="105" t="s">
        <v>72</v>
      </c>
      <c r="C167" s="109" t="s">
        <v>28</v>
      </c>
      <c r="D167" s="110">
        <v>36</v>
      </c>
      <c r="E167" s="110"/>
      <c r="F167" s="111">
        <f>ROUND(E167*D167,2)</f>
        <v>0</v>
      </c>
      <c r="G167" s="26"/>
    </row>
    <row r="168" spans="1:7">
      <c r="A168" s="123" t="s">
        <v>181</v>
      </c>
      <c r="B168" s="105" t="s">
        <v>27</v>
      </c>
      <c r="C168" s="113" t="s">
        <v>28</v>
      </c>
      <c r="D168" s="117">
        <v>50</v>
      </c>
      <c r="E168" s="110"/>
      <c r="F168" s="111">
        <f>ROUND(E168*D168,2)</f>
        <v>0</v>
      </c>
      <c r="G168" s="26"/>
    </row>
    <row r="169" spans="1:7">
      <c r="A169" s="123" t="s">
        <v>182</v>
      </c>
      <c r="B169" s="105" t="s">
        <v>29</v>
      </c>
      <c r="C169" s="109" t="s">
        <v>28</v>
      </c>
      <c r="D169" s="110">
        <v>16</v>
      </c>
      <c r="E169" s="110"/>
      <c r="F169" s="111">
        <f>ROUND(E169*D169,2)</f>
        <v>0</v>
      </c>
      <c r="G169" s="26"/>
    </row>
    <row r="170" spans="1:7">
      <c r="A170" s="123" t="s">
        <v>183</v>
      </c>
      <c r="B170" s="105" t="s">
        <v>30</v>
      </c>
      <c r="C170" s="109" t="s">
        <v>28</v>
      </c>
      <c r="D170" s="110">
        <v>5</v>
      </c>
      <c r="E170" s="110"/>
      <c r="F170" s="111">
        <f>ROUND(E170*D170,2)</f>
        <v>0</v>
      </c>
      <c r="G170" s="26"/>
    </row>
    <row r="171" spans="1:7">
      <c r="A171" s="146"/>
      <c r="B171" s="40"/>
      <c r="C171" s="131"/>
      <c r="D171" s="107"/>
      <c r="E171" s="107"/>
      <c r="F171" s="133"/>
      <c r="G171" s="26"/>
    </row>
    <row r="172" spans="1:7">
      <c r="A172" s="129"/>
      <c r="B172" s="147" t="s">
        <v>5</v>
      </c>
      <c r="C172" s="148"/>
      <c r="D172" s="149"/>
      <c r="E172" s="149"/>
      <c r="F172" s="470">
        <f>F173</f>
        <v>0</v>
      </c>
      <c r="G172" s="26"/>
    </row>
    <row r="173" spans="1:7">
      <c r="A173" s="123" t="s">
        <v>184</v>
      </c>
      <c r="B173" s="105" t="s">
        <v>31</v>
      </c>
      <c r="C173" s="109" t="s">
        <v>28</v>
      </c>
      <c r="D173" s="110">
        <v>5</v>
      </c>
      <c r="E173" s="110"/>
      <c r="F173" s="111">
        <f>ROUND(E173*D173,2)</f>
        <v>0</v>
      </c>
      <c r="G173" s="26"/>
    </row>
    <row r="174" spans="1:7">
      <c r="A174" s="150"/>
      <c r="B174" s="132"/>
      <c r="C174" s="113"/>
      <c r="D174" s="117"/>
      <c r="E174" s="117"/>
      <c r="F174" s="118"/>
      <c r="G174" s="30"/>
    </row>
    <row r="175" spans="1:7">
      <c r="A175" s="129"/>
      <c r="B175" s="147" t="s">
        <v>6</v>
      </c>
      <c r="C175" s="147"/>
      <c r="D175" s="151"/>
      <c r="E175" s="151"/>
      <c r="F175" s="470">
        <f>F176</f>
        <v>0</v>
      </c>
      <c r="G175" s="26"/>
    </row>
    <row r="176" spans="1:7">
      <c r="A176" s="123" t="s">
        <v>185</v>
      </c>
      <c r="B176" s="105" t="s">
        <v>32</v>
      </c>
      <c r="C176" s="109" t="s">
        <v>64</v>
      </c>
      <c r="D176" s="110">
        <v>1</v>
      </c>
      <c r="E176" s="111"/>
      <c r="F176" s="111">
        <f>ROUND(E176*D176,2)</f>
        <v>0</v>
      </c>
      <c r="G176" s="26"/>
    </row>
    <row r="177" spans="1:7">
      <c r="A177" s="132"/>
      <c r="B177" s="132"/>
      <c r="C177" s="152"/>
      <c r="D177" s="153"/>
      <c r="E177" s="154"/>
      <c r="F177" s="152"/>
      <c r="G177" s="31"/>
    </row>
    <row r="178" spans="1:7">
      <c r="A178" s="132"/>
      <c r="B178" s="155" t="s">
        <v>54</v>
      </c>
      <c r="C178" s="152"/>
      <c r="D178" s="153"/>
      <c r="E178" s="460">
        <f>F83</f>
        <v>0</v>
      </c>
      <c r="F178" s="460"/>
      <c r="G178" s="26"/>
    </row>
    <row r="180" spans="1:7" ht="13.5" customHeight="1"/>
    <row r="189" spans="1:7">
      <c r="C189" s="9"/>
      <c r="D189" s="9"/>
      <c r="E189" s="9"/>
    </row>
  </sheetData>
  <mergeCells count="14">
    <mergeCell ref="E160:F160"/>
    <mergeCell ref="E178:F178"/>
    <mergeCell ref="D42:E42"/>
    <mergeCell ref="E78:F78"/>
    <mergeCell ref="A1:B1"/>
    <mergeCell ref="A2:B2"/>
    <mergeCell ref="B30:D30"/>
    <mergeCell ref="E159:F159"/>
    <mergeCell ref="D44:E44"/>
    <mergeCell ref="D46:E46"/>
    <mergeCell ref="E1:F1"/>
    <mergeCell ref="E2:F2"/>
    <mergeCell ref="E77:F77"/>
    <mergeCell ref="B28:D28"/>
  </mergeCells>
  <pageMargins left="0.70866141732283472" right="0.70866141732283472" top="0.78740157480314965" bottom="0.78740157480314965" header="0.31496062992125984" footer="0.31496062992125984"/>
  <pageSetup paperSize="9" scale="95" fitToHeight="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D846D-3777-4251-9C7B-CC233ED0EA9A}">
  <sheetPr>
    <pageSetUpPr fitToPage="1"/>
  </sheetPr>
  <dimension ref="A1:T110"/>
  <sheetViews>
    <sheetView topLeftCell="A67" zoomScale="80" zoomScaleNormal="80" workbookViewId="0">
      <selection activeCell="H110" sqref="H110"/>
    </sheetView>
  </sheetViews>
  <sheetFormatPr defaultColWidth="8" defaultRowHeight="15"/>
  <cols>
    <col min="1" max="1" width="9.6640625" style="384" bestFit="1" customWidth="1"/>
    <col min="2" max="2" width="11" style="384" customWidth="1"/>
    <col min="3" max="3" width="77.33203125" style="384" bestFit="1" customWidth="1"/>
    <col min="4" max="4" width="11" style="384" customWidth="1"/>
    <col min="5" max="5" width="10.6640625" style="384" customWidth="1"/>
    <col min="6" max="7" width="14.1640625" style="384" customWidth="1"/>
    <col min="8" max="8" width="13.5" style="384" customWidth="1"/>
    <col min="9" max="9" width="92.83203125" style="384" bestFit="1" customWidth="1"/>
    <col min="10" max="10" width="10.6640625" style="384" customWidth="1"/>
    <col min="11" max="11" width="10.6640625" style="320" customWidth="1"/>
    <col min="12" max="255" width="10.6640625" style="384" customWidth="1"/>
    <col min="256" max="256" width="9.6640625" style="384" bestFit="1" customWidth="1"/>
    <col min="257" max="257" width="8" style="384"/>
    <col min="258" max="258" width="9.6640625" style="384" bestFit="1" customWidth="1"/>
    <col min="259" max="259" width="8" style="384"/>
    <col min="260" max="260" width="77.33203125" style="384" bestFit="1" customWidth="1"/>
    <col min="261" max="261" width="11" style="384" customWidth="1"/>
    <col min="262" max="262" width="10.6640625" style="384" customWidth="1"/>
    <col min="263" max="263" width="14.1640625" style="384" customWidth="1"/>
    <col min="264" max="264" width="13.5" style="384" customWidth="1"/>
    <col min="265" max="265" width="92.83203125" style="384" bestFit="1" customWidth="1"/>
    <col min="266" max="511" width="10.6640625" style="384" customWidth="1"/>
    <col min="512" max="512" width="9.6640625" style="384" bestFit="1" customWidth="1"/>
    <col min="513" max="513" width="8" style="384"/>
    <col min="514" max="514" width="9.6640625" style="384" bestFit="1" customWidth="1"/>
    <col min="515" max="515" width="8" style="384"/>
    <col min="516" max="516" width="77.33203125" style="384" bestFit="1" customWidth="1"/>
    <col min="517" max="517" width="11" style="384" customWidth="1"/>
    <col min="518" max="518" width="10.6640625" style="384" customWidth="1"/>
    <col min="519" max="519" width="14.1640625" style="384" customWidth="1"/>
    <col min="520" max="520" width="13.5" style="384" customWidth="1"/>
    <col min="521" max="521" width="92.83203125" style="384" bestFit="1" customWidth="1"/>
    <col min="522" max="767" width="10.6640625" style="384" customWidth="1"/>
    <col min="768" max="768" width="9.6640625" style="384" bestFit="1" customWidth="1"/>
    <col min="769" max="769" width="8" style="384"/>
    <col min="770" max="770" width="9.6640625" style="384" bestFit="1" customWidth="1"/>
    <col min="771" max="771" width="8" style="384"/>
    <col min="772" max="772" width="77.33203125" style="384" bestFit="1" customWidth="1"/>
    <col min="773" max="773" width="11" style="384" customWidth="1"/>
    <col min="774" max="774" width="10.6640625" style="384" customWidth="1"/>
    <col min="775" max="775" width="14.1640625" style="384" customWidth="1"/>
    <col min="776" max="776" width="13.5" style="384" customWidth="1"/>
    <col min="777" max="777" width="92.83203125" style="384" bestFit="1" customWidth="1"/>
    <col min="778" max="1023" width="10.6640625" style="384" customWidth="1"/>
    <col min="1024" max="1024" width="9.6640625" style="384" bestFit="1" customWidth="1"/>
    <col min="1025" max="1025" width="8" style="384"/>
    <col min="1026" max="1026" width="9.6640625" style="384" bestFit="1" customWidth="1"/>
    <col min="1027" max="1027" width="8" style="384"/>
    <col min="1028" max="1028" width="77.33203125" style="384" bestFit="1" customWidth="1"/>
    <col min="1029" max="1029" width="11" style="384" customWidth="1"/>
    <col min="1030" max="1030" width="10.6640625" style="384" customWidth="1"/>
    <col min="1031" max="1031" width="14.1640625" style="384" customWidth="1"/>
    <col min="1032" max="1032" width="13.5" style="384" customWidth="1"/>
    <col min="1033" max="1033" width="92.83203125" style="384" bestFit="1" customWidth="1"/>
    <col min="1034" max="1279" width="10.6640625" style="384" customWidth="1"/>
    <col min="1280" max="1280" width="9.6640625" style="384" bestFit="1" customWidth="1"/>
    <col min="1281" max="1281" width="8" style="384"/>
    <col min="1282" max="1282" width="9.6640625" style="384" bestFit="1" customWidth="1"/>
    <col min="1283" max="1283" width="8" style="384"/>
    <col min="1284" max="1284" width="77.33203125" style="384" bestFit="1" customWidth="1"/>
    <col min="1285" max="1285" width="11" style="384" customWidth="1"/>
    <col min="1286" max="1286" width="10.6640625" style="384" customWidth="1"/>
    <col min="1287" max="1287" width="14.1640625" style="384" customWidth="1"/>
    <col min="1288" max="1288" width="13.5" style="384" customWidth="1"/>
    <col min="1289" max="1289" width="92.83203125" style="384" bestFit="1" customWidth="1"/>
    <col min="1290" max="1535" width="10.6640625" style="384" customWidth="1"/>
    <col min="1536" max="1536" width="9.6640625" style="384" bestFit="1" customWidth="1"/>
    <col min="1537" max="1537" width="8" style="384"/>
    <col min="1538" max="1538" width="9.6640625" style="384" bestFit="1" customWidth="1"/>
    <col min="1539" max="1539" width="8" style="384"/>
    <col min="1540" max="1540" width="77.33203125" style="384" bestFit="1" customWidth="1"/>
    <col min="1541" max="1541" width="11" style="384" customWidth="1"/>
    <col min="1542" max="1542" width="10.6640625" style="384" customWidth="1"/>
    <col min="1543" max="1543" width="14.1640625" style="384" customWidth="1"/>
    <col min="1544" max="1544" width="13.5" style="384" customWidth="1"/>
    <col min="1545" max="1545" width="92.83203125" style="384" bestFit="1" customWidth="1"/>
    <col min="1546" max="1791" width="10.6640625" style="384" customWidth="1"/>
    <col min="1792" max="1792" width="9.6640625" style="384" bestFit="1" customWidth="1"/>
    <col min="1793" max="1793" width="8" style="384"/>
    <col min="1794" max="1794" width="9.6640625" style="384" bestFit="1" customWidth="1"/>
    <col min="1795" max="1795" width="8" style="384"/>
    <col min="1796" max="1796" width="77.33203125" style="384" bestFit="1" customWidth="1"/>
    <col min="1797" max="1797" width="11" style="384" customWidth="1"/>
    <col min="1798" max="1798" width="10.6640625" style="384" customWidth="1"/>
    <col min="1799" max="1799" width="14.1640625" style="384" customWidth="1"/>
    <col min="1800" max="1800" width="13.5" style="384" customWidth="1"/>
    <col min="1801" max="1801" width="92.83203125" style="384" bestFit="1" customWidth="1"/>
    <col min="1802" max="2047" width="10.6640625" style="384" customWidth="1"/>
    <col min="2048" max="2048" width="9.6640625" style="384" bestFit="1" customWidth="1"/>
    <col min="2049" max="2049" width="8" style="384"/>
    <col min="2050" max="2050" width="9.6640625" style="384" bestFit="1" customWidth="1"/>
    <col min="2051" max="2051" width="8" style="384"/>
    <col min="2052" max="2052" width="77.33203125" style="384" bestFit="1" customWidth="1"/>
    <col min="2053" max="2053" width="11" style="384" customWidth="1"/>
    <col min="2054" max="2054" width="10.6640625" style="384" customWidth="1"/>
    <col min="2055" max="2055" width="14.1640625" style="384" customWidth="1"/>
    <col min="2056" max="2056" width="13.5" style="384" customWidth="1"/>
    <col min="2057" max="2057" width="92.83203125" style="384" bestFit="1" customWidth="1"/>
    <col min="2058" max="2303" width="10.6640625" style="384" customWidth="1"/>
    <col min="2304" max="2304" width="9.6640625" style="384" bestFit="1" customWidth="1"/>
    <col min="2305" max="2305" width="8" style="384"/>
    <col min="2306" max="2306" width="9.6640625" style="384" bestFit="1" customWidth="1"/>
    <col min="2307" max="2307" width="8" style="384"/>
    <col min="2308" max="2308" width="77.33203125" style="384" bestFit="1" customWidth="1"/>
    <col min="2309" max="2309" width="11" style="384" customWidth="1"/>
    <col min="2310" max="2310" width="10.6640625" style="384" customWidth="1"/>
    <col min="2311" max="2311" width="14.1640625" style="384" customWidth="1"/>
    <col min="2312" max="2312" width="13.5" style="384" customWidth="1"/>
    <col min="2313" max="2313" width="92.83203125" style="384" bestFit="1" customWidth="1"/>
    <col min="2314" max="2559" width="10.6640625" style="384" customWidth="1"/>
    <col min="2560" max="2560" width="9.6640625" style="384" bestFit="1" customWidth="1"/>
    <col min="2561" max="2561" width="8" style="384"/>
    <col min="2562" max="2562" width="9.6640625" style="384" bestFit="1" customWidth="1"/>
    <col min="2563" max="2563" width="8" style="384"/>
    <col min="2564" max="2564" width="77.33203125" style="384" bestFit="1" customWidth="1"/>
    <col min="2565" max="2565" width="11" style="384" customWidth="1"/>
    <col min="2566" max="2566" width="10.6640625" style="384" customWidth="1"/>
    <col min="2567" max="2567" width="14.1640625" style="384" customWidth="1"/>
    <col min="2568" max="2568" width="13.5" style="384" customWidth="1"/>
    <col min="2569" max="2569" width="92.83203125" style="384" bestFit="1" customWidth="1"/>
    <col min="2570" max="2815" width="10.6640625" style="384" customWidth="1"/>
    <col min="2816" max="2816" width="9.6640625" style="384" bestFit="1" customWidth="1"/>
    <col min="2817" max="2817" width="8" style="384"/>
    <col min="2818" max="2818" width="9.6640625" style="384" bestFit="1" customWidth="1"/>
    <col min="2819" max="2819" width="8" style="384"/>
    <col min="2820" max="2820" width="77.33203125" style="384" bestFit="1" customWidth="1"/>
    <col min="2821" max="2821" width="11" style="384" customWidth="1"/>
    <col min="2822" max="2822" width="10.6640625" style="384" customWidth="1"/>
    <col min="2823" max="2823" width="14.1640625" style="384" customWidth="1"/>
    <col min="2824" max="2824" width="13.5" style="384" customWidth="1"/>
    <col min="2825" max="2825" width="92.83203125" style="384" bestFit="1" customWidth="1"/>
    <col min="2826" max="3071" width="10.6640625" style="384" customWidth="1"/>
    <col min="3072" max="3072" width="9.6640625" style="384" bestFit="1" customWidth="1"/>
    <col min="3073" max="3073" width="8" style="384"/>
    <col min="3074" max="3074" width="9.6640625" style="384" bestFit="1" customWidth="1"/>
    <col min="3075" max="3075" width="8" style="384"/>
    <col min="3076" max="3076" width="77.33203125" style="384" bestFit="1" customWidth="1"/>
    <col min="3077" max="3077" width="11" style="384" customWidth="1"/>
    <col min="3078" max="3078" width="10.6640625" style="384" customWidth="1"/>
    <col min="3079" max="3079" width="14.1640625" style="384" customWidth="1"/>
    <col min="3080" max="3080" width="13.5" style="384" customWidth="1"/>
    <col min="3081" max="3081" width="92.83203125" style="384" bestFit="1" customWidth="1"/>
    <col min="3082" max="3327" width="10.6640625" style="384" customWidth="1"/>
    <col min="3328" max="3328" width="9.6640625" style="384" bestFit="1" customWidth="1"/>
    <col min="3329" max="3329" width="8" style="384"/>
    <col min="3330" max="3330" width="9.6640625" style="384" bestFit="1" customWidth="1"/>
    <col min="3331" max="3331" width="8" style="384"/>
    <col min="3332" max="3332" width="77.33203125" style="384" bestFit="1" customWidth="1"/>
    <col min="3333" max="3333" width="11" style="384" customWidth="1"/>
    <col min="3334" max="3334" width="10.6640625" style="384" customWidth="1"/>
    <col min="3335" max="3335" width="14.1640625" style="384" customWidth="1"/>
    <col min="3336" max="3336" width="13.5" style="384" customWidth="1"/>
    <col min="3337" max="3337" width="92.83203125" style="384" bestFit="1" customWidth="1"/>
    <col min="3338" max="3583" width="10.6640625" style="384" customWidth="1"/>
    <col min="3584" max="3584" width="9.6640625" style="384" bestFit="1" customWidth="1"/>
    <col min="3585" max="3585" width="8" style="384"/>
    <col min="3586" max="3586" width="9.6640625" style="384" bestFit="1" customWidth="1"/>
    <col min="3587" max="3587" width="8" style="384"/>
    <col min="3588" max="3588" width="77.33203125" style="384" bestFit="1" customWidth="1"/>
    <col min="3589" max="3589" width="11" style="384" customWidth="1"/>
    <col min="3590" max="3590" width="10.6640625" style="384" customWidth="1"/>
    <col min="3591" max="3591" width="14.1640625" style="384" customWidth="1"/>
    <col min="3592" max="3592" width="13.5" style="384" customWidth="1"/>
    <col min="3593" max="3593" width="92.83203125" style="384" bestFit="1" customWidth="1"/>
    <col min="3594" max="3839" width="10.6640625" style="384" customWidth="1"/>
    <col min="3840" max="3840" width="9.6640625" style="384" bestFit="1" customWidth="1"/>
    <col min="3841" max="3841" width="8" style="384"/>
    <col min="3842" max="3842" width="9.6640625" style="384" bestFit="1" customWidth="1"/>
    <col min="3843" max="3843" width="8" style="384"/>
    <col min="3844" max="3844" width="77.33203125" style="384" bestFit="1" customWidth="1"/>
    <col min="3845" max="3845" width="11" style="384" customWidth="1"/>
    <col min="3846" max="3846" width="10.6640625" style="384" customWidth="1"/>
    <col min="3847" max="3847" width="14.1640625" style="384" customWidth="1"/>
    <col min="3848" max="3848" width="13.5" style="384" customWidth="1"/>
    <col min="3849" max="3849" width="92.83203125" style="384" bestFit="1" customWidth="1"/>
    <col min="3850" max="4095" width="10.6640625" style="384" customWidth="1"/>
    <col min="4096" max="4096" width="9.6640625" style="384" bestFit="1" customWidth="1"/>
    <col min="4097" max="4097" width="8" style="384"/>
    <col min="4098" max="4098" width="9.6640625" style="384" bestFit="1" customWidth="1"/>
    <col min="4099" max="4099" width="8" style="384"/>
    <col min="4100" max="4100" width="77.33203125" style="384" bestFit="1" customWidth="1"/>
    <col min="4101" max="4101" width="11" style="384" customWidth="1"/>
    <col min="4102" max="4102" width="10.6640625" style="384" customWidth="1"/>
    <col min="4103" max="4103" width="14.1640625" style="384" customWidth="1"/>
    <col min="4104" max="4104" width="13.5" style="384" customWidth="1"/>
    <col min="4105" max="4105" width="92.83203125" style="384" bestFit="1" customWidth="1"/>
    <col min="4106" max="4351" width="10.6640625" style="384" customWidth="1"/>
    <col min="4352" max="4352" width="9.6640625" style="384" bestFit="1" customWidth="1"/>
    <col min="4353" max="4353" width="8" style="384"/>
    <col min="4354" max="4354" width="9.6640625" style="384" bestFit="1" customWidth="1"/>
    <col min="4355" max="4355" width="8" style="384"/>
    <col min="4356" max="4356" width="77.33203125" style="384" bestFit="1" customWidth="1"/>
    <col min="4357" max="4357" width="11" style="384" customWidth="1"/>
    <col min="4358" max="4358" width="10.6640625" style="384" customWidth="1"/>
    <col min="4359" max="4359" width="14.1640625" style="384" customWidth="1"/>
    <col min="4360" max="4360" width="13.5" style="384" customWidth="1"/>
    <col min="4361" max="4361" width="92.83203125" style="384" bestFit="1" customWidth="1"/>
    <col min="4362" max="4607" width="10.6640625" style="384" customWidth="1"/>
    <col min="4608" max="4608" width="9.6640625" style="384" bestFit="1" customWidth="1"/>
    <col min="4609" max="4609" width="8" style="384"/>
    <col min="4610" max="4610" width="9.6640625" style="384" bestFit="1" customWidth="1"/>
    <col min="4611" max="4611" width="8" style="384"/>
    <col min="4612" max="4612" width="77.33203125" style="384" bestFit="1" customWidth="1"/>
    <col min="4613" max="4613" width="11" style="384" customWidth="1"/>
    <col min="4614" max="4614" width="10.6640625" style="384" customWidth="1"/>
    <col min="4615" max="4615" width="14.1640625" style="384" customWidth="1"/>
    <col min="4616" max="4616" width="13.5" style="384" customWidth="1"/>
    <col min="4617" max="4617" width="92.83203125" style="384" bestFit="1" customWidth="1"/>
    <col min="4618" max="4863" width="10.6640625" style="384" customWidth="1"/>
    <col min="4864" max="4864" width="9.6640625" style="384" bestFit="1" customWidth="1"/>
    <col min="4865" max="4865" width="8" style="384"/>
    <col min="4866" max="4866" width="9.6640625" style="384" bestFit="1" customWidth="1"/>
    <col min="4867" max="4867" width="8" style="384"/>
    <col min="4868" max="4868" width="77.33203125" style="384" bestFit="1" customWidth="1"/>
    <col min="4869" max="4869" width="11" style="384" customWidth="1"/>
    <col min="4870" max="4870" width="10.6640625" style="384" customWidth="1"/>
    <col min="4871" max="4871" width="14.1640625" style="384" customWidth="1"/>
    <col min="4872" max="4872" width="13.5" style="384" customWidth="1"/>
    <col min="4873" max="4873" width="92.83203125" style="384" bestFit="1" customWidth="1"/>
    <col min="4874" max="5119" width="10.6640625" style="384" customWidth="1"/>
    <col min="5120" max="5120" width="9.6640625" style="384" bestFit="1" customWidth="1"/>
    <col min="5121" max="5121" width="8" style="384"/>
    <col min="5122" max="5122" width="9.6640625" style="384" bestFit="1" customWidth="1"/>
    <col min="5123" max="5123" width="8" style="384"/>
    <col min="5124" max="5124" width="77.33203125" style="384" bestFit="1" customWidth="1"/>
    <col min="5125" max="5125" width="11" style="384" customWidth="1"/>
    <col min="5126" max="5126" width="10.6640625" style="384" customWidth="1"/>
    <col min="5127" max="5127" width="14.1640625" style="384" customWidth="1"/>
    <col min="5128" max="5128" width="13.5" style="384" customWidth="1"/>
    <col min="5129" max="5129" width="92.83203125" style="384" bestFit="1" customWidth="1"/>
    <col min="5130" max="5375" width="10.6640625" style="384" customWidth="1"/>
    <col min="5376" max="5376" width="9.6640625" style="384" bestFit="1" customWidth="1"/>
    <col min="5377" max="5377" width="8" style="384"/>
    <col min="5378" max="5378" width="9.6640625" style="384" bestFit="1" customWidth="1"/>
    <col min="5379" max="5379" width="8" style="384"/>
    <col min="5380" max="5380" width="77.33203125" style="384" bestFit="1" customWidth="1"/>
    <col min="5381" max="5381" width="11" style="384" customWidth="1"/>
    <col min="5382" max="5382" width="10.6640625" style="384" customWidth="1"/>
    <col min="5383" max="5383" width="14.1640625" style="384" customWidth="1"/>
    <col min="5384" max="5384" width="13.5" style="384" customWidth="1"/>
    <col min="5385" max="5385" width="92.83203125" style="384" bestFit="1" customWidth="1"/>
    <col min="5386" max="5631" width="10.6640625" style="384" customWidth="1"/>
    <col min="5632" max="5632" width="9.6640625" style="384" bestFit="1" customWidth="1"/>
    <col min="5633" max="5633" width="8" style="384"/>
    <col min="5634" max="5634" width="9.6640625" style="384" bestFit="1" customWidth="1"/>
    <col min="5635" max="5635" width="8" style="384"/>
    <col min="5636" max="5636" width="77.33203125" style="384" bestFit="1" customWidth="1"/>
    <col min="5637" max="5637" width="11" style="384" customWidth="1"/>
    <col min="5638" max="5638" width="10.6640625" style="384" customWidth="1"/>
    <col min="5639" max="5639" width="14.1640625" style="384" customWidth="1"/>
    <col min="5640" max="5640" width="13.5" style="384" customWidth="1"/>
    <col min="5641" max="5641" width="92.83203125" style="384" bestFit="1" customWidth="1"/>
    <col min="5642" max="5887" width="10.6640625" style="384" customWidth="1"/>
    <col min="5888" max="5888" width="9.6640625" style="384" bestFit="1" customWidth="1"/>
    <col min="5889" max="5889" width="8" style="384"/>
    <col min="5890" max="5890" width="9.6640625" style="384" bestFit="1" customWidth="1"/>
    <col min="5891" max="5891" width="8" style="384"/>
    <col min="5892" max="5892" width="77.33203125" style="384" bestFit="1" customWidth="1"/>
    <col min="5893" max="5893" width="11" style="384" customWidth="1"/>
    <col min="5894" max="5894" width="10.6640625" style="384" customWidth="1"/>
    <col min="5895" max="5895" width="14.1640625" style="384" customWidth="1"/>
    <col min="5896" max="5896" width="13.5" style="384" customWidth="1"/>
    <col min="5897" max="5897" width="92.83203125" style="384" bestFit="1" customWidth="1"/>
    <col min="5898" max="6143" width="10.6640625" style="384" customWidth="1"/>
    <col min="6144" max="6144" width="9.6640625" style="384" bestFit="1" customWidth="1"/>
    <col min="6145" max="6145" width="8" style="384"/>
    <col min="6146" max="6146" width="9.6640625" style="384" bestFit="1" customWidth="1"/>
    <col min="6147" max="6147" width="8" style="384"/>
    <col min="6148" max="6148" width="77.33203125" style="384" bestFit="1" customWidth="1"/>
    <col min="6149" max="6149" width="11" style="384" customWidth="1"/>
    <col min="6150" max="6150" width="10.6640625" style="384" customWidth="1"/>
    <col min="6151" max="6151" width="14.1640625" style="384" customWidth="1"/>
    <col min="6152" max="6152" width="13.5" style="384" customWidth="1"/>
    <col min="6153" max="6153" width="92.83203125" style="384" bestFit="1" customWidth="1"/>
    <col min="6154" max="6399" width="10.6640625" style="384" customWidth="1"/>
    <col min="6400" max="6400" width="9.6640625" style="384" bestFit="1" customWidth="1"/>
    <col min="6401" max="6401" width="8" style="384"/>
    <col min="6402" max="6402" width="9.6640625" style="384" bestFit="1" customWidth="1"/>
    <col min="6403" max="6403" width="8" style="384"/>
    <col min="6404" max="6404" width="77.33203125" style="384" bestFit="1" customWidth="1"/>
    <col min="6405" max="6405" width="11" style="384" customWidth="1"/>
    <col min="6406" max="6406" width="10.6640625" style="384" customWidth="1"/>
    <col min="6407" max="6407" width="14.1640625" style="384" customWidth="1"/>
    <col min="6408" max="6408" width="13.5" style="384" customWidth="1"/>
    <col min="6409" max="6409" width="92.83203125" style="384" bestFit="1" customWidth="1"/>
    <col min="6410" max="6655" width="10.6640625" style="384" customWidth="1"/>
    <col min="6656" max="6656" width="9.6640625" style="384" bestFit="1" customWidth="1"/>
    <col min="6657" max="6657" width="8" style="384"/>
    <col min="6658" max="6658" width="9.6640625" style="384" bestFit="1" customWidth="1"/>
    <col min="6659" max="6659" width="8" style="384"/>
    <col min="6660" max="6660" width="77.33203125" style="384" bestFit="1" customWidth="1"/>
    <col min="6661" max="6661" width="11" style="384" customWidth="1"/>
    <col min="6662" max="6662" width="10.6640625" style="384" customWidth="1"/>
    <col min="6663" max="6663" width="14.1640625" style="384" customWidth="1"/>
    <col min="6664" max="6664" width="13.5" style="384" customWidth="1"/>
    <col min="6665" max="6665" width="92.83203125" style="384" bestFit="1" customWidth="1"/>
    <col min="6666" max="6911" width="10.6640625" style="384" customWidth="1"/>
    <col min="6912" max="6912" width="9.6640625" style="384" bestFit="1" customWidth="1"/>
    <col min="6913" max="6913" width="8" style="384"/>
    <col min="6914" max="6914" width="9.6640625" style="384" bestFit="1" customWidth="1"/>
    <col min="6915" max="6915" width="8" style="384"/>
    <col min="6916" max="6916" width="77.33203125" style="384" bestFit="1" customWidth="1"/>
    <col min="6917" max="6917" width="11" style="384" customWidth="1"/>
    <col min="6918" max="6918" width="10.6640625" style="384" customWidth="1"/>
    <col min="6919" max="6919" width="14.1640625" style="384" customWidth="1"/>
    <col min="6920" max="6920" width="13.5" style="384" customWidth="1"/>
    <col min="6921" max="6921" width="92.83203125" style="384" bestFit="1" customWidth="1"/>
    <col min="6922" max="7167" width="10.6640625" style="384" customWidth="1"/>
    <col min="7168" max="7168" width="9.6640625" style="384" bestFit="1" customWidth="1"/>
    <col min="7169" max="7169" width="8" style="384"/>
    <col min="7170" max="7170" width="9.6640625" style="384" bestFit="1" customWidth="1"/>
    <col min="7171" max="7171" width="8" style="384"/>
    <col min="7172" max="7172" width="77.33203125" style="384" bestFit="1" customWidth="1"/>
    <col min="7173" max="7173" width="11" style="384" customWidth="1"/>
    <col min="7174" max="7174" width="10.6640625" style="384" customWidth="1"/>
    <col min="7175" max="7175" width="14.1640625" style="384" customWidth="1"/>
    <col min="7176" max="7176" width="13.5" style="384" customWidth="1"/>
    <col min="7177" max="7177" width="92.83203125" style="384" bestFit="1" customWidth="1"/>
    <col min="7178" max="7423" width="10.6640625" style="384" customWidth="1"/>
    <col min="7424" max="7424" width="9.6640625" style="384" bestFit="1" customWidth="1"/>
    <col min="7425" max="7425" width="8" style="384"/>
    <col min="7426" max="7426" width="9.6640625" style="384" bestFit="1" customWidth="1"/>
    <col min="7427" max="7427" width="8" style="384"/>
    <col min="7428" max="7428" width="77.33203125" style="384" bestFit="1" customWidth="1"/>
    <col min="7429" max="7429" width="11" style="384" customWidth="1"/>
    <col min="7430" max="7430" width="10.6640625" style="384" customWidth="1"/>
    <col min="7431" max="7431" width="14.1640625" style="384" customWidth="1"/>
    <col min="7432" max="7432" width="13.5" style="384" customWidth="1"/>
    <col min="7433" max="7433" width="92.83203125" style="384" bestFit="1" customWidth="1"/>
    <col min="7434" max="7679" width="10.6640625" style="384" customWidth="1"/>
    <col min="7680" max="7680" width="9.6640625" style="384" bestFit="1" customWidth="1"/>
    <col min="7681" max="7681" width="8" style="384"/>
    <col min="7682" max="7682" width="9.6640625" style="384" bestFit="1" customWidth="1"/>
    <col min="7683" max="7683" width="8" style="384"/>
    <col min="7684" max="7684" width="77.33203125" style="384" bestFit="1" customWidth="1"/>
    <col min="7685" max="7685" width="11" style="384" customWidth="1"/>
    <col min="7686" max="7686" width="10.6640625" style="384" customWidth="1"/>
    <col min="7687" max="7687" width="14.1640625" style="384" customWidth="1"/>
    <col min="7688" max="7688" width="13.5" style="384" customWidth="1"/>
    <col min="7689" max="7689" width="92.83203125" style="384" bestFit="1" customWidth="1"/>
    <col min="7690" max="7935" width="10.6640625" style="384" customWidth="1"/>
    <col min="7936" max="7936" width="9.6640625" style="384" bestFit="1" customWidth="1"/>
    <col min="7937" max="7937" width="8" style="384"/>
    <col min="7938" max="7938" width="9.6640625" style="384" bestFit="1" customWidth="1"/>
    <col min="7939" max="7939" width="8" style="384"/>
    <col min="7940" max="7940" width="77.33203125" style="384" bestFit="1" customWidth="1"/>
    <col min="7941" max="7941" width="11" style="384" customWidth="1"/>
    <col min="7942" max="7942" width="10.6640625" style="384" customWidth="1"/>
    <col min="7943" max="7943" width="14.1640625" style="384" customWidth="1"/>
    <col min="7944" max="7944" width="13.5" style="384" customWidth="1"/>
    <col min="7945" max="7945" width="92.83203125" style="384" bestFit="1" customWidth="1"/>
    <col min="7946" max="8191" width="10.6640625" style="384" customWidth="1"/>
    <col min="8192" max="8192" width="9.6640625" style="384" bestFit="1" customWidth="1"/>
    <col min="8193" max="8193" width="8" style="384"/>
    <col min="8194" max="8194" width="9.6640625" style="384" bestFit="1" customWidth="1"/>
    <col min="8195" max="8195" width="8" style="384"/>
    <col min="8196" max="8196" width="77.33203125" style="384" bestFit="1" customWidth="1"/>
    <col min="8197" max="8197" width="11" style="384" customWidth="1"/>
    <col min="8198" max="8198" width="10.6640625" style="384" customWidth="1"/>
    <col min="8199" max="8199" width="14.1640625" style="384" customWidth="1"/>
    <col min="8200" max="8200" width="13.5" style="384" customWidth="1"/>
    <col min="8201" max="8201" width="92.83203125" style="384" bestFit="1" customWidth="1"/>
    <col min="8202" max="8447" width="10.6640625" style="384" customWidth="1"/>
    <col min="8448" max="8448" width="9.6640625" style="384" bestFit="1" customWidth="1"/>
    <col min="8449" max="8449" width="8" style="384"/>
    <col min="8450" max="8450" width="9.6640625" style="384" bestFit="1" customWidth="1"/>
    <col min="8451" max="8451" width="8" style="384"/>
    <col min="8452" max="8452" width="77.33203125" style="384" bestFit="1" customWidth="1"/>
    <col min="8453" max="8453" width="11" style="384" customWidth="1"/>
    <col min="8454" max="8454" width="10.6640625" style="384" customWidth="1"/>
    <col min="8455" max="8455" width="14.1640625" style="384" customWidth="1"/>
    <col min="8456" max="8456" width="13.5" style="384" customWidth="1"/>
    <col min="8457" max="8457" width="92.83203125" style="384" bestFit="1" customWidth="1"/>
    <col min="8458" max="8703" width="10.6640625" style="384" customWidth="1"/>
    <col min="8704" max="8704" width="9.6640625" style="384" bestFit="1" customWidth="1"/>
    <col min="8705" max="8705" width="8" style="384"/>
    <col min="8706" max="8706" width="9.6640625" style="384" bestFit="1" customWidth="1"/>
    <col min="8707" max="8707" width="8" style="384"/>
    <col min="8708" max="8708" width="77.33203125" style="384" bestFit="1" customWidth="1"/>
    <col min="8709" max="8709" width="11" style="384" customWidth="1"/>
    <col min="8710" max="8710" width="10.6640625" style="384" customWidth="1"/>
    <col min="8711" max="8711" width="14.1640625" style="384" customWidth="1"/>
    <col min="8712" max="8712" width="13.5" style="384" customWidth="1"/>
    <col min="8713" max="8713" width="92.83203125" style="384" bestFit="1" customWidth="1"/>
    <col min="8714" max="8959" width="10.6640625" style="384" customWidth="1"/>
    <col min="8960" max="8960" width="9.6640625" style="384" bestFit="1" customWidth="1"/>
    <col min="8961" max="8961" width="8" style="384"/>
    <col min="8962" max="8962" width="9.6640625" style="384" bestFit="1" customWidth="1"/>
    <col min="8963" max="8963" width="8" style="384"/>
    <col min="8964" max="8964" width="77.33203125" style="384" bestFit="1" customWidth="1"/>
    <col min="8965" max="8965" width="11" style="384" customWidth="1"/>
    <col min="8966" max="8966" width="10.6640625" style="384" customWidth="1"/>
    <col min="8967" max="8967" width="14.1640625" style="384" customWidth="1"/>
    <col min="8968" max="8968" width="13.5" style="384" customWidth="1"/>
    <col min="8969" max="8969" width="92.83203125" style="384" bestFit="1" customWidth="1"/>
    <col min="8970" max="9215" width="10.6640625" style="384" customWidth="1"/>
    <col min="9216" max="9216" width="9.6640625" style="384" bestFit="1" customWidth="1"/>
    <col min="9217" max="9217" width="8" style="384"/>
    <col min="9218" max="9218" width="9.6640625" style="384" bestFit="1" customWidth="1"/>
    <col min="9219" max="9219" width="8" style="384"/>
    <col min="9220" max="9220" width="77.33203125" style="384" bestFit="1" customWidth="1"/>
    <col min="9221" max="9221" width="11" style="384" customWidth="1"/>
    <col min="9222" max="9222" width="10.6640625" style="384" customWidth="1"/>
    <col min="9223" max="9223" width="14.1640625" style="384" customWidth="1"/>
    <col min="9224" max="9224" width="13.5" style="384" customWidth="1"/>
    <col min="9225" max="9225" width="92.83203125" style="384" bestFit="1" customWidth="1"/>
    <col min="9226" max="9471" width="10.6640625" style="384" customWidth="1"/>
    <col min="9472" max="9472" width="9.6640625" style="384" bestFit="1" customWidth="1"/>
    <col min="9473" max="9473" width="8" style="384"/>
    <col min="9474" max="9474" width="9.6640625" style="384" bestFit="1" customWidth="1"/>
    <col min="9475" max="9475" width="8" style="384"/>
    <col min="9476" max="9476" width="77.33203125" style="384" bestFit="1" customWidth="1"/>
    <col min="9477" max="9477" width="11" style="384" customWidth="1"/>
    <col min="9478" max="9478" width="10.6640625" style="384" customWidth="1"/>
    <col min="9479" max="9479" width="14.1640625" style="384" customWidth="1"/>
    <col min="9480" max="9480" width="13.5" style="384" customWidth="1"/>
    <col min="9481" max="9481" width="92.83203125" style="384" bestFit="1" customWidth="1"/>
    <col min="9482" max="9727" width="10.6640625" style="384" customWidth="1"/>
    <col min="9728" max="9728" width="9.6640625" style="384" bestFit="1" customWidth="1"/>
    <col min="9729" max="9729" width="8" style="384"/>
    <col min="9730" max="9730" width="9.6640625" style="384" bestFit="1" customWidth="1"/>
    <col min="9731" max="9731" width="8" style="384"/>
    <col min="9732" max="9732" width="77.33203125" style="384" bestFit="1" customWidth="1"/>
    <col min="9733" max="9733" width="11" style="384" customWidth="1"/>
    <col min="9734" max="9734" width="10.6640625" style="384" customWidth="1"/>
    <col min="9735" max="9735" width="14.1640625" style="384" customWidth="1"/>
    <col min="9736" max="9736" width="13.5" style="384" customWidth="1"/>
    <col min="9737" max="9737" width="92.83203125" style="384" bestFit="1" customWidth="1"/>
    <col min="9738" max="9983" width="10.6640625" style="384" customWidth="1"/>
    <col min="9984" max="9984" width="9.6640625" style="384" bestFit="1" customWidth="1"/>
    <col min="9985" max="9985" width="8" style="384"/>
    <col min="9986" max="9986" width="9.6640625" style="384" bestFit="1" customWidth="1"/>
    <col min="9987" max="9987" width="8" style="384"/>
    <col min="9988" max="9988" width="77.33203125" style="384" bestFit="1" customWidth="1"/>
    <col min="9989" max="9989" width="11" style="384" customWidth="1"/>
    <col min="9990" max="9990" width="10.6640625" style="384" customWidth="1"/>
    <col min="9991" max="9991" width="14.1640625" style="384" customWidth="1"/>
    <col min="9992" max="9992" width="13.5" style="384" customWidth="1"/>
    <col min="9993" max="9993" width="92.83203125" style="384" bestFit="1" customWidth="1"/>
    <col min="9994" max="10239" width="10.6640625" style="384" customWidth="1"/>
    <col min="10240" max="10240" width="9.6640625" style="384" bestFit="1" customWidth="1"/>
    <col min="10241" max="10241" width="8" style="384"/>
    <col min="10242" max="10242" width="9.6640625" style="384" bestFit="1" customWidth="1"/>
    <col min="10243" max="10243" width="8" style="384"/>
    <col min="10244" max="10244" width="77.33203125" style="384" bestFit="1" customWidth="1"/>
    <col min="10245" max="10245" width="11" style="384" customWidth="1"/>
    <col min="10246" max="10246" width="10.6640625" style="384" customWidth="1"/>
    <col min="10247" max="10247" width="14.1640625" style="384" customWidth="1"/>
    <col min="10248" max="10248" width="13.5" style="384" customWidth="1"/>
    <col min="10249" max="10249" width="92.83203125" style="384" bestFit="1" customWidth="1"/>
    <col min="10250" max="10495" width="10.6640625" style="384" customWidth="1"/>
    <col min="10496" max="10496" width="9.6640625" style="384" bestFit="1" customWidth="1"/>
    <col min="10497" max="10497" width="8" style="384"/>
    <col min="10498" max="10498" width="9.6640625" style="384" bestFit="1" customWidth="1"/>
    <col min="10499" max="10499" width="8" style="384"/>
    <col min="10500" max="10500" width="77.33203125" style="384" bestFit="1" customWidth="1"/>
    <col min="10501" max="10501" width="11" style="384" customWidth="1"/>
    <col min="10502" max="10502" width="10.6640625" style="384" customWidth="1"/>
    <col min="10503" max="10503" width="14.1640625" style="384" customWidth="1"/>
    <col min="10504" max="10504" width="13.5" style="384" customWidth="1"/>
    <col min="10505" max="10505" width="92.83203125" style="384" bestFit="1" customWidth="1"/>
    <col min="10506" max="10751" width="10.6640625" style="384" customWidth="1"/>
    <col min="10752" max="10752" width="9.6640625" style="384" bestFit="1" customWidth="1"/>
    <col min="10753" max="10753" width="8" style="384"/>
    <col min="10754" max="10754" width="9.6640625" style="384" bestFit="1" customWidth="1"/>
    <col min="10755" max="10755" width="8" style="384"/>
    <col min="10756" max="10756" width="77.33203125" style="384" bestFit="1" customWidth="1"/>
    <col min="10757" max="10757" width="11" style="384" customWidth="1"/>
    <col min="10758" max="10758" width="10.6640625" style="384" customWidth="1"/>
    <col min="10759" max="10759" width="14.1640625" style="384" customWidth="1"/>
    <col min="10760" max="10760" width="13.5" style="384" customWidth="1"/>
    <col min="10761" max="10761" width="92.83203125" style="384" bestFit="1" customWidth="1"/>
    <col min="10762" max="11007" width="10.6640625" style="384" customWidth="1"/>
    <col min="11008" max="11008" width="9.6640625" style="384" bestFit="1" customWidth="1"/>
    <col min="11009" max="11009" width="8" style="384"/>
    <col min="11010" max="11010" width="9.6640625" style="384" bestFit="1" customWidth="1"/>
    <col min="11011" max="11011" width="8" style="384"/>
    <col min="11012" max="11012" width="77.33203125" style="384" bestFit="1" customWidth="1"/>
    <col min="11013" max="11013" width="11" style="384" customWidth="1"/>
    <col min="11014" max="11014" width="10.6640625" style="384" customWidth="1"/>
    <col min="11015" max="11015" width="14.1640625" style="384" customWidth="1"/>
    <col min="11016" max="11016" width="13.5" style="384" customWidth="1"/>
    <col min="11017" max="11017" width="92.83203125" style="384" bestFit="1" customWidth="1"/>
    <col min="11018" max="11263" width="10.6640625" style="384" customWidth="1"/>
    <col min="11264" max="11264" width="9.6640625" style="384" bestFit="1" customWidth="1"/>
    <col min="11265" max="11265" width="8" style="384"/>
    <col min="11266" max="11266" width="9.6640625" style="384" bestFit="1" customWidth="1"/>
    <col min="11267" max="11267" width="8" style="384"/>
    <col min="11268" max="11268" width="77.33203125" style="384" bestFit="1" customWidth="1"/>
    <col min="11269" max="11269" width="11" style="384" customWidth="1"/>
    <col min="11270" max="11270" width="10.6640625" style="384" customWidth="1"/>
    <col min="11271" max="11271" width="14.1640625" style="384" customWidth="1"/>
    <col min="11272" max="11272" width="13.5" style="384" customWidth="1"/>
    <col min="11273" max="11273" width="92.83203125" style="384" bestFit="1" customWidth="1"/>
    <col min="11274" max="11519" width="10.6640625" style="384" customWidth="1"/>
    <col min="11520" max="11520" width="9.6640625" style="384" bestFit="1" customWidth="1"/>
    <col min="11521" max="11521" width="8" style="384"/>
    <col min="11522" max="11522" width="9.6640625" style="384" bestFit="1" customWidth="1"/>
    <col min="11523" max="11523" width="8" style="384"/>
    <col min="11524" max="11524" width="77.33203125" style="384" bestFit="1" customWidth="1"/>
    <col min="11525" max="11525" width="11" style="384" customWidth="1"/>
    <col min="11526" max="11526" width="10.6640625" style="384" customWidth="1"/>
    <col min="11527" max="11527" width="14.1640625" style="384" customWidth="1"/>
    <col min="11528" max="11528" width="13.5" style="384" customWidth="1"/>
    <col min="11529" max="11529" width="92.83203125" style="384" bestFit="1" customWidth="1"/>
    <col min="11530" max="11775" width="10.6640625" style="384" customWidth="1"/>
    <col min="11776" max="11776" width="9.6640625" style="384" bestFit="1" customWidth="1"/>
    <col min="11777" max="11777" width="8" style="384"/>
    <col min="11778" max="11778" width="9.6640625" style="384" bestFit="1" customWidth="1"/>
    <col min="11779" max="11779" width="8" style="384"/>
    <col min="11780" max="11780" width="77.33203125" style="384" bestFit="1" customWidth="1"/>
    <col min="11781" max="11781" width="11" style="384" customWidth="1"/>
    <col min="11782" max="11782" width="10.6640625" style="384" customWidth="1"/>
    <col min="11783" max="11783" width="14.1640625" style="384" customWidth="1"/>
    <col min="11784" max="11784" width="13.5" style="384" customWidth="1"/>
    <col min="11785" max="11785" width="92.83203125" style="384" bestFit="1" customWidth="1"/>
    <col min="11786" max="12031" width="10.6640625" style="384" customWidth="1"/>
    <col min="12032" max="12032" width="9.6640625" style="384" bestFit="1" customWidth="1"/>
    <col min="12033" max="12033" width="8" style="384"/>
    <col min="12034" max="12034" width="9.6640625" style="384" bestFit="1" customWidth="1"/>
    <col min="12035" max="12035" width="8" style="384"/>
    <col min="12036" max="12036" width="77.33203125" style="384" bestFit="1" customWidth="1"/>
    <col min="12037" max="12037" width="11" style="384" customWidth="1"/>
    <col min="12038" max="12038" width="10.6640625" style="384" customWidth="1"/>
    <col min="12039" max="12039" width="14.1640625" style="384" customWidth="1"/>
    <col min="12040" max="12040" width="13.5" style="384" customWidth="1"/>
    <col min="12041" max="12041" width="92.83203125" style="384" bestFit="1" customWidth="1"/>
    <col min="12042" max="12287" width="10.6640625" style="384" customWidth="1"/>
    <col min="12288" max="12288" width="9.6640625" style="384" bestFit="1" customWidth="1"/>
    <col min="12289" max="12289" width="8" style="384"/>
    <col min="12290" max="12290" width="9.6640625" style="384" bestFit="1" customWidth="1"/>
    <col min="12291" max="12291" width="8" style="384"/>
    <col min="12292" max="12292" width="77.33203125" style="384" bestFit="1" customWidth="1"/>
    <col min="12293" max="12293" width="11" style="384" customWidth="1"/>
    <col min="12294" max="12294" width="10.6640625" style="384" customWidth="1"/>
    <col min="12295" max="12295" width="14.1640625" style="384" customWidth="1"/>
    <col min="12296" max="12296" width="13.5" style="384" customWidth="1"/>
    <col min="12297" max="12297" width="92.83203125" style="384" bestFit="1" customWidth="1"/>
    <col min="12298" max="12543" width="10.6640625" style="384" customWidth="1"/>
    <col min="12544" max="12544" width="9.6640625" style="384" bestFit="1" customWidth="1"/>
    <col min="12545" max="12545" width="8" style="384"/>
    <col min="12546" max="12546" width="9.6640625" style="384" bestFit="1" customWidth="1"/>
    <col min="12547" max="12547" width="8" style="384"/>
    <col min="12548" max="12548" width="77.33203125" style="384" bestFit="1" customWidth="1"/>
    <col min="12549" max="12549" width="11" style="384" customWidth="1"/>
    <col min="12550" max="12550" width="10.6640625" style="384" customWidth="1"/>
    <col min="12551" max="12551" width="14.1640625" style="384" customWidth="1"/>
    <col min="12552" max="12552" width="13.5" style="384" customWidth="1"/>
    <col min="12553" max="12553" width="92.83203125" style="384" bestFit="1" customWidth="1"/>
    <col min="12554" max="12799" width="10.6640625" style="384" customWidth="1"/>
    <col min="12800" max="12800" width="9.6640625" style="384" bestFit="1" customWidth="1"/>
    <col min="12801" max="12801" width="8" style="384"/>
    <col min="12802" max="12802" width="9.6640625" style="384" bestFit="1" customWidth="1"/>
    <col min="12803" max="12803" width="8" style="384"/>
    <col min="12804" max="12804" width="77.33203125" style="384" bestFit="1" customWidth="1"/>
    <col min="12805" max="12805" width="11" style="384" customWidth="1"/>
    <col min="12806" max="12806" width="10.6640625" style="384" customWidth="1"/>
    <col min="12807" max="12807" width="14.1640625" style="384" customWidth="1"/>
    <col min="12808" max="12808" width="13.5" style="384" customWidth="1"/>
    <col min="12809" max="12809" width="92.83203125" style="384" bestFit="1" customWidth="1"/>
    <col min="12810" max="13055" width="10.6640625" style="384" customWidth="1"/>
    <col min="13056" max="13056" width="9.6640625" style="384" bestFit="1" customWidth="1"/>
    <col min="13057" max="13057" width="8" style="384"/>
    <col min="13058" max="13058" width="9.6640625" style="384" bestFit="1" customWidth="1"/>
    <col min="13059" max="13059" width="8" style="384"/>
    <col min="13060" max="13060" width="77.33203125" style="384" bestFit="1" customWidth="1"/>
    <col min="13061" max="13061" width="11" style="384" customWidth="1"/>
    <col min="13062" max="13062" width="10.6640625" style="384" customWidth="1"/>
    <col min="13063" max="13063" width="14.1640625" style="384" customWidth="1"/>
    <col min="13064" max="13064" width="13.5" style="384" customWidth="1"/>
    <col min="13065" max="13065" width="92.83203125" style="384" bestFit="1" customWidth="1"/>
    <col min="13066" max="13311" width="10.6640625" style="384" customWidth="1"/>
    <col min="13312" max="13312" width="9.6640625" style="384" bestFit="1" customWidth="1"/>
    <col min="13313" max="13313" width="8" style="384"/>
    <col min="13314" max="13314" width="9.6640625" style="384" bestFit="1" customWidth="1"/>
    <col min="13315" max="13315" width="8" style="384"/>
    <col min="13316" max="13316" width="77.33203125" style="384" bestFit="1" customWidth="1"/>
    <col min="13317" max="13317" width="11" style="384" customWidth="1"/>
    <col min="13318" max="13318" width="10.6640625" style="384" customWidth="1"/>
    <col min="13319" max="13319" width="14.1640625" style="384" customWidth="1"/>
    <col min="13320" max="13320" width="13.5" style="384" customWidth="1"/>
    <col min="13321" max="13321" width="92.83203125" style="384" bestFit="1" customWidth="1"/>
    <col min="13322" max="13567" width="10.6640625" style="384" customWidth="1"/>
    <col min="13568" max="13568" width="9.6640625" style="384" bestFit="1" customWidth="1"/>
    <col min="13569" max="13569" width="8" style="384"/>
    <col min="13570" max="13570" width="9.6640625" style="384" bestFit="1" customWidth="1"/>
    <col min="13571" max="13571" width="8" style="384"/>
    <col min="13572" max="13572" width="77.33203125" style="384" bestFit="1" customWidth="1"/>
    <col min="13573" max="13573" width="11" style="384" customWidth="1"/>
    <col min="13574" max="13574" width="10.6640625" style="384" customWidth="1"/>
    <col min="13575" max="13575" width="14.1640625" style="384" customWidth="1"/>
    <col min="13576" max="13576" width="13.5" style="384" customWidth="1"/>
    <col min="13577" max="13577" width="92.83203125" style="384" bestFit="1" customWidth="1"/>
    <col min="13578" max="13823" width="10.6640625" style="384" customWidth="1"/>
    <col min="13824" max="13824" width="9.6640625" style="384" bestFit="1" customWidth="1"/>
    <col min="13825" max="13825" width="8" style="384"/>
    <col min="13826" max="13826" width="9.6640625" style="384" bestFit="1" customWidth="1"/>
    <col min="13827" max="13827" width="8" style="384"/>
    <col min="13828" max="13828" width="77.33203125" style="384" bestFit="1" customWidth="1"/>
    <col min="13829" max="13829" width="11" style="384" customWidth="1"/>
    <col min="13830" max="13830" width="10.6640625" style="384" customWidth="1"/>
    <col min="13831" max="13831" width="14.1640625" style="384" customWidth="1"/>
    <col min="13832" max="13832" width="13.5" style="384" customWidth="1"/>
    <col min="13833" max="13833" width="92.83203125" style="384" bestFit="1" customWidth="1"/>
    <col min="13834" max="14079" width="10.6640625" style="384" customWidth="1"/>
    <col min="14080" max="14080" width="9.6640625" style="384" bestFit="1" customWidth="1"/>
    <col min="14081" max="14081" width="8" style="384"/>
    <col min="14082" max="14082" width="9.6640625" style="384" bestFit="1" customWidth="1"/>
    <col min="14083" max="14083" width="8" style="384"/>
    <col min="14084" max="14084" width="77.33203125" style="384" bestFit="1" customWidth="1"/>
    <col min="14085" max="14085" width="11" style="384" customWidth="1"/>
    <col min="14086" max="14086" width="10.6640625" style="384" customWidth="1"/>
    <col min="14087" max="14087" width="14.1640625" style="384" customWidth="1"/>
    <col min="14088" max="14088" width="13.5" style="384" customWidth="1"/>
    <col min="14089" max="14089" width="92.83203125" style="384" bestFit="1" customWidth="1"/>
    <col min="14090" max="14335" width="10.6640625" style="384" customWidth="1"/>
    <col min="14336" max="14336" width="9.6640625" style="384" bestFit="1" customWidth="1"/>
    <col min="14337" max="14337" width="8" style="384"/>
    <col min="14338" max="14338" width="9.6640625" style="384" bestFit="1" customWidth="1"/>
    <col min="14339" max="14339" width="8" style="384"/>
    <col min="14340" max="14340" width="77.33203125" style="384" bestFit="1" customWidth="1"/>
    <col min="14341" max="14341" width="11" style="384" customWidth="1"/>
    <col min="14342" max="14342" width="10.6640625" style="384" customWidth="1"/>
    <col min="14343" max="14343" width="14.1640625" style="384" customWidth="1"/>
    <col min="14344" max="14344" width="13.5" style="384" customWidth="1"/>
    <col min="14345" max="14345" width="92.83203125" style="384" bestFit="1" customWidth="1"/>
    <col min="14346" max="14591" width="10.6640625" style="384" customWidth="1"/>
    <col min="14592" max="14592" width="9.6640625" style="384" bestFit="1" customWidth="1"/>
    <col min="14593" max="14593" width="8" style="384"/>
    <col min="14594" max="14594" width="9.6640625" style="384" bestFit="1" customWidth="1"/>
    <col min="14595" max="14595" width="8" style="384"/>
    <col min="14596" max="14596" width="77.33203125" style="384" bestFit="1" customWidth="1"/>
    <col min="14597" max="14597" width="11" style="384" customWidth="1"/>
    <col min="14598" max="14598" width="10.6640625" style="384" customWidth="1"/>
    <col min="14599" max="14599" width="14.1640625" style="384" customWidth="1"/>
    <col min="14600" max="14600" width="13.5" style="384" customWidth="1"/>
    <col min="14601" max="14601" width="92.83203125" style="384" bestFit="1" customWidth="1"/>
    <col min="14602" max="14847" width="10.6640625" style="384" customWidth="1"/>
    <col min="14848" max="14848" width="9.6640625" style="384" bestFit="1" customWidth="1"/>
    <col min="14849" max="14849" width="8" style="384"/>
    <col min="14850" max="14850" width="9.6640625" style="384" bestFit="1" customWidth="1"/>
    <col min="14851" max="14851" width="8" style="384"/>
    <col min="14852" max="14852" width="77.33203125" style="384" bestFit="1" customWidth="1"/>
    <col min="14853" max="14853" width="11" style="384" customWidth="1"/>
    <col min="14854" max="14854" width="10.6640625" style="384" customWidth="1"/>
    <col min="14855" max="14855" width="14.1640625" style="384" customWidth="1"/>
    <col min="14856" max="14856" width="13.5" style="384" customWidth="1"/>
    <col min="14857" max="14857" width="92.83203125" style="384" bestFit="1" customWidth="1"/>
    <col min="14858" max="15103" width="10.6640625" style="384" customWidth="1"/>
    <col min="15104" max="15104" width="9.6640625" style="384" bestFit="1" customWidth="1"/>
    <col min="15105" max="15105" width="8" style="384"/>
    <col min="15106" max="15106" width="9.6640625" style="384" bestFit="1" customWidth="1"/>
    <col min="15107" max="15107" width="8" style="384"/>
    <col min="15108" max="15108" width="77.33203125" style="384" bestFit="1" customWidth="1"/>
    <col min="15109" max="15109" width="11" style="384" customWidth="1"/>
    <col min="15110" max="15110" width="10.6640625" style="384" customWidth="1"/>
    <col min="15111" max="15111" width="14.1640625" style="384" customWidth="1"/>
    <col min="15112" max="15112" width="13.5" style="384" customWidth="1"/>
    <col min="15113" max="15113" width="92.83203125" style="384" bestFit="1" customWidth="1"/>
    <col min="15114" max="15359" width="10.6640625" style="384" customWidth="1"/>
    <col min="15360" max="15360" width="9.6640625" style="384" bestFit="1" customWidth="1"/>
    <col min="15361" max="15361" width="8" style="384"/>
    <col min="15362" max="15362" width="9.6640625" style="384" bestFit="1" customWidth="1"/>
    <col min="15363" max="15363" width="8" style="384"/>
    <col min="15364" max="15364" width="77.33203125" style="384" bestFit="1" customWidth="1"/>
    <col min="15365" max="15365" width="11" style="384" customWidth="1"/>
    <col min="15366" max="15366" width="10.6640625" style="384" customWidth="1"/>
    <col min="15367" max="15367" width="14.1640625" style="384" customWidth="1"/>
    <col min="15368" max="15368" width="13.5" style="384" customWidth="1"/>
    <col min="15369" max="15369" width="92.83203125" style="384" bestFit="1" customWidth="1"/>
    <col min="15370" max="15615" width="10.6640625" style="384" customWidth="1"/>
    <col min="15616" max="15616" width="9.6640625" style="384" bestFit="1" customWidth="1"/>
    <col min="15617" max="15617" width="8" style="384"/>
    <col min="15618" max="15618" width="9.6640625" style="384" bestFit="1" customWidth="1"/>
    <col min="15619" max="15619" width="8" style="384"/>
    <col min="15620" max="15620" width="77.33203125" style="384" bestFit="1" customWidth="1"/>
    <col min="15621" max="15621" width="11" style="384" customWidth="1"/>
    <col min="15622" max="15622" width="10.6640625" style="384" customWidth="1"/>
    <col min="15623" max="15623" width="14.1640625" style="384" customWidth="1"/>
    <col min="15624" max="15624" width="13.5" style="384" customWidth="1"/>
    <col min="15625" max="15625" width="92.83203125" style="384" bestFit="1" customWidth="1"/>
    <col min="15626" max="15871" width="10.6640625" style="384" customWidth="1"/>
    <col min="15872" max="15872" width="9.6640625" style="384" bestFit="1" customWidth="1"/>
    <col min="15873" max="15873" width="8" style="384"/>
    <col min="15874" max="15874" width="9.6640625" style="384" bestFit="1" customWidth="1"/>
    <col min="15875" max="15875" width="8" style="384"/>
    <col min="15876" max="15876" width="77.33203125" style="384" bestFit="1" customWidth="1"/>
    <col min="15877" max="15877" width="11" style="384" customWidth="1"/>
    <col min="15878" max="15878" width="10.6640625" style="384" customWidth="1"/>
    <col min="15879" max="15879" width="14.1640625" style="384" customWidth="1"/>
    <col min="15880" max="15880" width="13.5" style="384" customWidth="1"/>
    <col min="15881" max="15881" width="92.83203125" style="384" bestFit="1" customWidth="1"/>
    <col min="15882" max="16127" width="10.6640625" style="384" customWidth="1"/>
    <col min="16128" max="16128" width="9.6640625" style="384" bestFit="1" customWidth="1"/>
    <col min="16129" max="16129" width="8" style="384"/>
    <col min="16130" max="16130" width="9.6640625" style="384" bestFit="1" customWidth="1"/>
    <col min="16131" max="16131" width="8" style="384"/>
    <col min="16132" max="16132" width="77.33203125" style="384" bestFit="1" customWidth="1"/>
    <col min="16133" max="16133" width="11" style="384" customWidth="1"/>
    <col min="16134" max="16134" width="10.6640625" style="384" customWidth="1"/>
    <col min="16135" max="16135" width="14.1640625" style="384" customWidth="1"/>
    <col min="16136" max="16136" width="13.5" style="384" customWidth="1"/>
    <col min="16137" max="16137" width="92.83203125" style="384" bestFit="1" customWidth="1"/>
    <col min="16138" max="16384" width="10.6640625" style="384" customWidth="1"/>
  </cols>
  <sheetData>
    <row r="1" spans="1:11" s="319" customFormat="1" ht="16.5" thickTop="1">
      <c r="A1" s="313" t="s">
        <v>299</v>
      </c>
      <c r="B1" s="314"/>
      <c r="C1" s="315" t="s">
        <v>300</v>
      </c>
      <c r="D1" s="316"/>
      <c r="E1" s="316"/>
      <c r="F1" s="317"/>
      <c r="G1" s="317"/>
      <c r="H1" s="317"/>
      <c r="I1" s="318"/>
      <c r="K1" s="320"/>
    </row>
    <row r="2" spans="1:11" s="319" customFormat="1" ht="15.75">
      <c r="A2" s="321" t="s">
        <v>301</v>
      </c>
      <c r="B2" s="322"/>
      <c r="C2" s="323" t="s">
        <v>302</v>
      </c>
      <c r="D2" s="323"/>
      <c r="E2" s="324" t="s">
        <v>303</v>
      </c>
      <c r="F2" s="325" t="s">
        <v>304</v>
      </c>
      <c r="G2" s="325"/>
      <c r="H2" s="325"/>
      <c r="I2" s="326"/>
      <c r="K2" s="320"/>
    </row>
    <row r="3" spans="1:11" s="319" customFormat="1" ht="15.75">
      <c r="A3" s="321" t="s">
        <v>305</v>
      </c>
      <c r="B3" s="322"/>
      <c r="C3" s="323" t="s">
        <v>306</v>
      </c>
      <c r="D3" s="323"/>
      <c r="E3" s="324" t="s">
        <v>307</v>
      </c>
      <c r="F3" s="325"/>
      <c r="G3" s="325"/>
      <c r="H3" s="325"/>
      <c r="I3" s="326"/>
      <c r="K3" s="320"/>
    </row>
    <row r="4" spans="1:11" s="319" customFormat="1" ht="16.5" thickBot="1">
      <c r="A4" s="321" t="s">
        <v>308</v>
      </c>
      <c r="B4" s="322"/>
      <c r="C4" s="323" t="s">
        <v>309</v>
      </c>
      <c r="D4" s="323"/>
      <c r="E4" s="323"/>
      <c r="F4" s="325"/>
      <c r="G4" s="325"/>
      <c r="H4" s="325"/>
      <c r="I4" s="326"/>
      <c r="K4" s="320"/>
    </row>
    <row r="5" spans="1:11" s="319" customFormat="1" ht="70.5" customHeight="1" thickTop="1" thickBot="1">
      <c r="A5" s="327" t="s">
        <v>310</v>
      </c>
      <c r="B5" s="328" t="s">
        <v>311</v>
      </c>
      <c r="C5" s="329" t="s">
        <v>46</v>
      </c>
      <c r="D5" s="330" t="s">
        <v>312</v>
      </c>
      <c r="E5" s="328" t="s">
        <v>313</v>
      </c>
      <c r="F5" s="331" t="s">
        <v>314</v>
      </c>
      <c r="G5" s="331" t="s">
        <v>315</v>
      </c>
      <c r="H5" s="332" t="s">
        <v>316</v>
      </c>
      <c r="I5" s="333" t="s">
        <v>317</v>
      </c>
      <c r="K5" s="320"/>
    </row>
    <row r="6" spans="1:11" s="319" customFormat="1" ht="16.5" thickTop="1">
      <c r="A6" s="334" t="s">
        <v>318</v>
      </c>
      <c r="B6" s="335"/>
      <c r="C6" s="336" t="s">
        <v>319</v>
      </c>
      <c r="D6" s="337"/>
      <c r="E6" s="338"/>
      <c r="F6" s="339"/>
      <c r="G6" s="340"/>
      <c r="H6" s="341"/>
      <c r="I6" s="342"/>
      <c r="K6" s="320"/>
    </row>
    <row r="7" spans="1:11" s="319" customFormat="1" ht="47.25">
      <c r="A7" s="343" t="s">
        <v>320</v>
      </c>
      <c r="B7" s="344" t="s">
        <v>321</v>
      </c>
      <c r="C7" s="345" t="s">
        <v>322</v>
      </c>
      <c r="D7" s="335">
        <v>1</v>
      </c>
      <c r="E7" s="335" t="s">
        <v>126</v>
      </c>
      <c r="F7" s="339"/>
      <c r="G7" s="340"/>
      <c r="H7" s="341">
        <f>D7*(F7+G7)</f>
        <v>0</v>
      </c>
      <c r="I7" s="346" t="s">
        <v>323</v>
      </c>
      <c r="K7" s="320"/>
    </row>
    <row r="8" spans="1:11" s="319" customFormat="1" ht="47.25">
      <c r="A8" s="343" t="s">
        <v>324</v>
      </c>
      <c r="B8" s="344" t="s">
        <v>325</v>
      </c>
      <c r="C8" s="345" t="s">
        <v>326</v>
      </c>
      <c r="D8" s="335">
        <v>1</v>
      </c>
      <c r="E8" s="335" t="s">
        <v>126</v>
      </c>
      <c r="F8" s="339"/>
      <c r="G8" s="340"/>
      <c r="H8" s="341">
        <f>D8*(F8+G8)</f>
        <v>0</v>
      </c>
      <c r="I8" s="346" t="s">
        <v>327</v>
      </c>
      <c r="K8" s="320"/>
    </row>
    <row r="9" spans="1:11" s="319" customFormat="1" ht="31.5">
      <c r="A9" s="343" t="s">
        <v>328</v>
      </c>
      <c r="B9" s="344" t="s">
        <v>329</v>
      </c>
      <c r="C9" s="345" t="s">
        <v>330</v>
      </c>
      <c r="D9" s="335">
        <v>2</v>
      </c>
      <c r="E9" s="335" t="s">
        <v>126</v>
      </c>
      <c r="F9" s="339"/>
      <c r="G9" s="340"/>
      <c r="H9" s="341">
        <f>D9*(F9+G9)</f>
        <v>0</v>
      </c>
      <c r="I9" s="346" t="s">
        <v>331</v>
      </c>
      <c r="K9" s="320"/>
    </row>
    <row r="10" spans="1:11" s="319" customFormat="1" ht="15.75">
      <c r="A10" s="343"/>
      <c r="B10" s="344"/>
      <c r="C10" s="345"/>
      <c r="D10" s="335"/>
      <c r="E10" s="335"/>
      <c r="F10" s="339"/>
      <c r="G10" s="340"/>
      <c r="H10" s="341"/>
      <c r="I10" s="346"/>
      <c r="K10" s="320"/>
    </row>
    <row r="11" spans="1:11" s="319" customFormat="1" ht="15.75">
      <c r="A11" s="334" t="s">
        <v>318</v>
      </c>
      <c r="B11" s="335"/>
      <c r="C11" s="336" t="s">
        <v>332</v>
      </c>
      <c r="D11" s="335"/>
      <c r="E11" s="335"/>
      <c r="F11" s="339"/>
      <c r="G11" s="340"/>
      <c r="H11" s="341"/>
      <c r="I11" s="346"/>
      <c r="K11" s="320"/>
    </row>
    <row r="12" spans="1:11" s="319" customFormat="1" ht="85.5" customHeight="1">
      <c r="A12" s="343" t="s">
        <v>320</v>
      </c>
      <c r="B12" s="344" t="s">
        <v>333</v>
      </c>
      <c r="C12" s="347" t="s">
        <v>334</v>
      </c>
      <c r="D12" s="335">
        <v>1</v>
      </c>
      <c r="E12" s="335" t="s">
        <v>126</v>
      </c>
      <c r="F12" s="339"/>
      <c r="G12" s="340"/>
      <c r="H12" s="341">
        <f t="shared" ref="H12:H107" si="0">D12*(F12+G12)</f>
        <v>0</v>
      </c>
      <c r="I12" s="346" t="s">
        <v>335</v>
      </c>
      <c r="K12" s="320"/>
    </row>
    <row r="13" spans="1:11" s="319" customFormat="1" ht="31.5">
      <c r="A13" s="343" t="s">
        <v>324</v>
      </c>
      <c r="B13" s="344" t="s">
        <v>336</v>
      </c>
      <c r="C13" s="347" t="s">
        <v>337</v>
      </c>
      <c r="D13" s="335">
        <v>1</v>
      </c>
      <c r="E13" s="335" t="s">
        <v>126</v>
      </c>
      <c r="F13" s="339"/>
      <c r="G13" s="340"/>
      <c r="H13" s="341">
        <f t="shared" si="0"/>
        <v>0</v>
      </c>
      <c r="I13" s="346" t="s">
        <v>338</v>
      </c>
      <c r="K13" s="320"/>
    </row>
    <row r="14" spans="1:11" s="319" customFormat="1" ht="15.75">
      <c r="A14" s="343" t="s">
        <v>328</v>
      </c>
      <c r="B14" s="344" t="s">
        <v>336</v>
      </c>
      <c r="C14" s="348" t="s">
        <v>337</v>
      </c>
      <c r="D14" s="335">
        <v>1</v>
      </c>
      <c r="E14" s="335" t="s">
        <v>126</v>
      </c>
      <c r="F14" s="339"/>
      <c r="G14" s="340"/>
      <c r="H14" s="341">
        <f t="shared" si="0"/>
        <v>0</v>
      </c>
      <c r="I14" s="346" t="s">
        <v>339</v>
      </c>
      <c r="K14" s="320"/>
    </row>
    <row r="15" spans="1:11" s="319" customFormat="1" ht="31.5">
      <c r="A15" s="343" t="s">
        <v>340</v>
      </c>
      <c r="B15" s="344" t="s">
        <v>341</v>
      </c>
      <c r="C15" s="347" t="s">
        <v>342</v>
      </c>
      <c r="D15" s="335">
        <v>1</v>
      </c>
      <c r="E15" s="335" t="s">
        <v>126</v>
      </c>
      <c r="F15" s="339"/>
      <c r="G15" s="340"/>
      <c r="H15" s="341">
        <f t="shared" si="0"/>
        <v>0</v>
      </c>
      <c r="I15" s="346" t="s">
        <v>343</v>
      </c>
      <c r="K15" s="320"/>
    </row>
    <row r="16" spans="1:11" s="319" customFormat="1" ht="15.75">
      <c r="A16" s="343"/>
      <c r="B16" s="344"/>
      <c r="C16" s="348"/>
      <c r="D16" s="335"/>
      <c r="E16" s="335"/>
      <c r="F16" s="339"/>
      <c r="G16" s="340"/>
      <c r="H16" s="341"/>
      <c r="I16" s="346"/>
      <c r="K16" s="320"/>
    </row>
    <row r="17" spans="1:11" s="319" customFormat="1" ht="15.75">
      <c r="A17" s="334" t="s">
        <v>318</v>
      </c>
      <c r="B17" s="335"/>
      <c r="C17" s="336" t="s">
        <v>344</v>
      </c>
      <c r="D17" s="335"/>
      <c r="E17" s="335"/>
      <c r="F17" s="339"/>
      <c r="G17" s="340"/>
      <c r="H17" s="341"/>
      <c r="I17" s="346"/>
      <c r="K17" s="320"/>
    </row>
    <row r="18" spans="1:11" s="319" customFormat="1" ht="15.75">
      <c r="A18" s="343" t="s">
        <v>320</v>
      </c>
      <c r="B18" s="344"/>
      <c r="C18" s="348" t="s">
        <v>345</v>
      </c>
      <c r="D18" s="335">
        <v>2</v>
      </c>
      <c r="E18" s="335" t="s">
        <v>126</v>
      </c>
      <c r="F18" s="339"/>
      <c r="G18" s="340"/>
      <c r="H18" s="341">
        <f t="shared" si="0"/>
        <v>0</v>
      </c>
      <c r="I18" s="346" t="s">
        <v>346</v>
      </c>
      <c r="K18" s="320"/>
    </row>
    <row r="19" spans="1:11" s="319" customFormat="1" ht="15.75">
      <c r="A19" s="343" t="s">
        <v>324</v>
      </c>
      <c r="B19" s="344"/>
      <c r="C19" s="348" t="s">
        <v>347</v>
      </c>
      <c r="D19" s="335">
        <v>2</v>
      </c>
      <c r="E19" s="335" t="s">
        <v>126</v>
      </c>
      <c r="F19" s="339"/>
      <c r="G19" s="340"/>
      <c r="H19" s="341">
        <f>D19*(F19+G19)</f>
        <v>0</v>
      </c>
      <c r="I19" s="346" t="s">
        <v>348</v>
      </c>
      <c r="K19" s="320"/>
    </row>
    <row r="20" spans="1:11" s="319" customFormat="1" ht="15.75">
      <c r="A20" s="343" t="s">
        <v>328</v>
      </c>
      <c r="B20" s="344"/>
      <c r="C20" s="348" t="s">
        <v>349</v>
      </c>
      <c r="D20" s="335">
        <v>2</v>
      </c>
      <c r="E20" s="335" t="s">
        <v>126</v>
      </c>
      <c r="F20" s="339"/>
      <c r="G20" s="340"/>
      <c r="H20" s="341">
        <f>D20*(F20+G20)</f>
        <v>0</v>
      </c>
      <c r="I20" s="349" t="s">
        <v>349</v>
      </c>
      <c r="K20" s="320"/>
    </row>
    <row r="21" spans="1:11" s="319" customFormat="1" ht="15.75">
      <c r="A21" s="343" t="s">
        <v>340</v>
      </c>
      <c r="B21" s="344"/>
      <c r="C21" s="348" t="s">
        <v>350</v>
      </c>
      <c r="D21" s="335">
        <v>2</v>
      </c>
      <c r="E21" s="335" t="s">
        <v>126</v>
      </c>
      <c r="F21" s="339"/>
      <c r="G21" s="340"/>
      <c r="H21" s="341">
        <f>D21*(F21+G21)</f>
        <v>0</v>
      </c>
      <c r="I21" s="349" t="s">
        <v>350</v>
      </c>
      <c r="K21" s="320"/>
    </row>
    <row r="22" spans="1:11" s="319" customFormat="1" ht="15.75">
      <c r="A22" s="343" t="s">
        <v>351</v>
      </c>
      <c r="B22" s="344"/>
      <c r="C22" s="348" t="s">
        <v>352</v>
      </c>
      <c r="D22" s="335">
        <v>2</v>
      </c>
      <c r="E22" s="335" t="s">
        <v>126</v>
      </c>
      <c r="F22" s="339"/>
      <c r="G22" s="340"/>
      <c r="H22" s="341">
        <f>D22*(F22+G22)</f>
        <v>0</v>
      </c>
      <c r="I22" s="349" t="s">
        <v>353</v>
      </c>
      <c r="K22" s="320"/>
    </row>
    <row r="23" spans="1:11" s="319" customFormat="1" ht="15.75">
      <c r="A23" s="343"/>
      <c r="B23" s="344"/>
      <c r="C23" s="348"/>
      <c r="D23" s="335"/>
      <c r="E23" s="335"/>
      <c r="F23" s="339"/>
      <c r="G23" s="340"/>
      <c r="H23" s="341"/>
      <c r="I23" s="346"/>
      <c r="K23" s="320"/>
    </row>
    <row r="24" spans="1:11" s="319" customFormat="1" ht="15.75">
      <c r="A24" s="334" t="s">
        <v>318</v>
      </c>
      <c r="B24" s="335"/>
      <c r="C24" s="350" t="s">
        <v>354</v>
      </c>
      <c r="D24" s="335"/>
      <c r="E24" s="335"/>
      <c r="F24" s="339"/>
      <c r="G24" s="340"/>
      <c r="H24" s="341"/>
      <c r="I24" s="346"/>
      <c r="K24" s="320"/>
    </row>
    <row r="25" spans="1:11" s="319" customFormat="1" ht="63">
      <c r="A25" s="343" t="s">
        <v>320</v>
      </c>
      <c r="B25" s="344" t="s">
        <v>355</v>
      </c>
      <c r="C25" s="347" t="s">
        <v>356</v>
      </c>
      <c r="D25" s="335">
        <v>2</v>
      </c>
      <c r="E25" s="335" t="s">
        <v>126</v>
      </c>
      <c r="F25" s="339"/>
      <c r="G25" s="340"/>
      <c r="H25" s="341">
        <f t="shared" si="0"/>
        <v>0</v>
      </c>
      <c r="I25" s="346" t="s">
        <v>357</v>
      </c>
      <c r="K25" s="320"/>
    </row>
    <row r="26" spans="1:11" s="319" customFormat="1" ht="63">
      <c r="A26" s="343" t="s">
        <v>324</v>
      </c>
      <c r="B26" s="344" t="s">
        <v>358</v>
      </c>
      <c r="C26" s="347" t="s">
        <v>359</v>
      </c>
      <c r="D26" s="335">
        <v>2</v>
      </c>
      <c r="E26" s="335" t="s">
        <v>126</v>
      </c>
      <c r="F26" s="339"/>
      <c r="G26" s="340"/>
      <c r="H26" s="341">
        <f>D26*(F26+G26)</f>
        <v>0</v>
      </c>
      <c r="I26" s="346" t="s">
        <v>360</v>
      </c>
      <c r="K26" s="320"/>
    </row>
    <row r="27" spans="1:11" s="319" customFormat="1" ht="47.25">
      <c r="A27" s="343" t="s">
        <v>328</v>
      </c>
      <c r="B27" s="344" t="s">
        <v>361</v>
      </c>
      <c r="C27" s="347" t="s">
        <v>362</v>
      </c>
      <c r="D27" s="335">
        <v>1</v>
      </c>
      <c r="E27" s="335" t="s">
        <v>126</v>
      </c>
      <c r="F27" s="339"/>
      <c r="G27" s="340"/>
      <c r="H27" s="341">
        <f t="shared" ref="H27" si="1">D27*(F27+G27)</f>
        <v>0</v>
      </c>
      <c r="I27" s="346" t="s">
        <v>363</v>
      </c>
      <c r="K27" s="320"/>
    </row>
    <row r="28" spans="1:11" s="319" customFormat="1" ht="31.5">
      <c r="A28" s="343" t="s">
        <v>340</v>
      </c>
      <c r="B28" s="335" t="s">
        <v>364</v>
      </c>
      <c r="C28" s="347" t="s">
        <v>365</v>
      </c>
      <c r="D28" s="335">
        <v>1</v>
      </c>
      <c r="E28" s="335" t="s">
        <v>126</v>
      </c>
      <c r="F28" s="339"/>
      <c r="G28" s="340"/>
      <c r="H28" s="341">
        <f t="shared" si="0"/>
        <v>0</v>
      </c>
      <c r="I28" s="346" t="s">
        <v>366</v>
      </c>
      <c r="K28" s="320"/>
    </row>
    <row r="29" spans="1:11" s="319" customFormat="1" ht="15.75">
      <c r="A29" s="343" t="s">
        <v>351</v>
      </c>
      <c r="B29" s="335"/>
      <c r="C29" s="347" t="s">
        <v>367</v>
      </c>
      <c r="D29" s="335">
        <v>2</v>
      </c>
      <c r="E29" s="335" t="s">
        <v>126</v>
      </c>
      <c r="F29" s="339"/>
      <c r="G29" s="340"/>
      <c r="H29" s="341">
        <f t="shared" si="0"/>
        <v>0</v>
      </c>
      <c r="I29" s="346" t="s">
        <v>368</v>
      </c>
      <c r="K29" s="320"/>
    </row>
    <row r="30" spans="1:11" s="319" customFormat="1" ht="31.5">
      <c r="A30" s="343" t="s">
        <v>369</v>
      </c>
      <c r="B30" s="335" t="s">
        <v>370</v>
      </c>
      <c r="C30" s="347" t="s">
        <v>371</v>
      </c>
      <c r="D30" s="335">
        <v>3</v>
      </c>
      <c r="E30" s="335" t="s">
        <v>126</v>
      </c>
      <c r="F30" s="339"/>
      <c r="G30" s="340"/>
      <c r="H30" s="341">
        <f t="shared" si="0"/>
        <v>0</v>
      </c>
      <c r="I30" s="346" t="s">
        <v>372</v>
      </c>
      <c r="K30" s="320"/>
    </row>
    <row r="31" spans="1:11" s="319" customFormat="1" ht="15.75">
      <c r="A31" s="343" t="s">
        <v>373</v>
      </c>
      <c r="B31" s="335" t="s">
        <v>374</v>
      </c>
      <c r="C31" s="347" t="s">
        <v>375</v>
      </c>
      <c r="D31" s="335">
        <v>1</v>
      </c>
      <c r="E31" s="335" t="s">
        <v>126</v>
      </c>
      <c r="F31" s="339"/>
      <c r="G31" s="340"/>
      <c r="H31" s="341">
        <f t="shared" si="0"/>
        <v>0</v>
      </c>
      <c r="I31" s="346" t="s">
        <v>376</v>
      </c>
      <c r="K31" s="320"/>
    </row>
    <row r="32" spans="1:11" s="319" customFormat="1" ht="49.5" customHeight="1">
      <c r="A32" s="343" t="s">
        <v>377</v>
      </c>
      <c r="B32" s="335" t="s">
        <v>378</v>
      </c>
      <c r="C32" s="351" t="s">
        <v>379</v>
      </c>
      <c r="D32" s="335">
        <v>1</v>
      </c>
      <c r="E32" s="335" t="s">
        <v>126</v>
      </c>
      <c r="F32" s="339"/>
      <c r="G32" s="340"/>
      <c r="H32" s="341">
        <f t="shared" si="0"/>
        <v>0</v>
      </c>
      <c r="I32" s="352" t="s">
        <v>380</v>
      </c>
      <c r="K32" s="320"/>
    </row>
    <row r="33" spans="1:11" s="319" customFormat="1" ht="49.5" customHeight="1">
      <c r="A33" s="343" t="s">
        <v>381</v>
      </c>
      <c r="B33" s="335" t="s">
        <v>382</v>
      </c>
      <c r="C33" s="351" t="s">
        <v>383</v>
      </c>
      <c r="D33" s="335">
        <v>2</v>
      </c>
      <c r="E33" s="335" t="s">
        <v>126</v>
      </c>
      <c r="F33" s="339"/>
      <c r="G33" s="340"/>
      <c r="H33" s="341">
        <f t="shared" si="0"/>
        <v>0</v>
      </c>
      <c r="I33" s="352" t="s">
        <v>384</v>
      </c>
      <c r="K33" s="320"/>
    </row>
    <row r="34" spans="1:11" s="319" customFormat="1" ht="15.75">
      <c r="A34" s="343" t="s">
        <v>385</v>
      </c>
      <c r="B34" s="344" t="s">
        <v>386</v>
      </c>
      <c r="C34" s="347" t="s">
        <v>387</v>
      </c>
      <c r="D34" s="335">
        <v>1</v>
      </c>
      <c r="E34" s="335" t="s">
        <v>126</v>
      </c>
      <c r="F34" s="339"/>
      <c r="G34" s="340"/>
      <c r="H34" s="341">
        <f t="shared" si="0"/>
        <v>0</v>
      </c>
      <c r="I34" s="346" t="s">
        <v>388</v>
      </c>
      <c r="K34" s="320"/>
    </row>
    <row r="35" spans="1:11" s="319" customFormat="1" ht="15.75">
      <c r="A35" s="343" t="s">
        <v>389</v>
      </c>
      <c r="B35" s="335" t="s">
        <v>390</v>
      </c>
      <c r="C35" s="347" t="s">
        <v>391</v>
      </c>
      <c r="D35" s="335">
        <v>2</v>
      </c>
      <c r="E35" s="335" t="s">
        <v>126</v>
      </c>
      <c r="F35" s="339"/>
      <c r="G35" s="340"/>
      <c r="H35" s="341">
        <f t="shared" si="0"/>
        <v>0</v>
      </c>
      <c r="I35" s="346" t="s">
        <v>392</v>
      </c>
      <c r="K35" s="320"/>
    </row>
    <row r="36" spans="1:11" s="319" customFormat="1" ht="31.5">
      <c r="A36" s="343" t="s">
        <v>393</v>
      </c>
      <c r="B36" s="335" t="s">
        <v>394</v>
      </c>
      <c r="C36" s="347" t="s">
        <v>395</v>
      </c>
      <c r="D36" s="335">
        <v>1</v>
      </c>
      <c r="E36" s="335" t="s">
        <v>126</v>
      </c>
      <c r="F36" s="339"/>
      <c r="G36" s="340"/>
      <c r="H36" s="341">
        <f t="shared" si="0"/>
        <v>0</v>
      </c>
      <c r="I36" s="346" t="s">
        <v>396</v>
      </c>
      <c r="K36" s="320"/>
    </row>
    <row r="37" spans="1:11" s="319" customFormat="1" ht="31.5">
      <c r="A37" s="343" t="s">
        <v>397</v>
      </c>
      <c r="B37" s="335" t="s">
        <v>398</v>
      </c>
      <c r="C37" s="347" t="s">
        <v>399</v>
      </c>
      <c r="D37" s="335">
        <v>1</v>
      </c>
      <c r="E37" s="335" t="s">
        <v>126</v>
      </c>
      <c r="F37" s="339"/>
      <c r="G37" s="340"/>
      <c r="H37" s="341">
        <f t="shared" si="0"/>
        <v>0</v>
      </c>
      <c r="I37" s="346" t="s">
        <v>400</v>
      </c>
      <c r="K37" s="320"/>
    </row>
    <row r="38" spans="1:11" s="319" customFormat="1" ht="15.75">
      <c r="A38" s="343" t="s">
        <v>401</v>
      </c>
      <c r="B38" s="335" t="s">
        <v>402</v>
      </c>
      <c r="C38" s="347" t="s">
        <v>403</v>
      </c>
      <c r="D38" s="335">
        <v>2</v>
      </c>
      <c r="E38" s="335" t="s">
        <v>126</v>
      </c>
      <c r="F38" s="339"/>
      <c r="G38" s="340"/>
      <c r="H38" s="341">
        <f t="shared" si="0"/>
        <v>0</v>
      </c>
      <c r="I38" s="346" t="s">
        <v>404</v>
      </c>
      <c r="K38" s="320"/>
    </row>
    <row r="39" spans="1:11" s="319" customFormat="1" ht="15.75">
      <c r="A39" s="343" t="s">
        <v>405</v>
      </c>
      <c r="B39" s="335"/>
      <c r="C39" s="347" t="s">
        <v>406</v>
      </c>
      <c r="D39" s="335">
        <v>2</v>
      </c>
      <c r="E39" s="335" t="s">
        <v>126</v>
      </c>
      <c r="F39" s="339"/>
      <c r="G39" s="340"/>
      <c r="H39" s="341">
        <f t="shared" si="0"/>
        <v>0</v>
      </c>
      <c r="I39" s="346" t="s">
        <v>407</v>
      </c>
      <c r="K39" s="320"/>
    </row>
    <row r="40" spans="1:11" s="319" customFormat="1" ht="15.75">
      <c r="A40" s="343"/>
      <c r="B40" s="335"/>
      <c r="C40" s="347"/>
      <c r="D40" s="335"/>
      <c r="E40" s="335"/>
      <c r="F40" s="339"/>
      <c r="G40" s="340"/>
      <c r="H40" s="341"/>
      <c r="I40" s="346"/>
      <c r="K40" s="320"/>
    </row>
    <row r="41" spans="1:11" s="319" customFormat="1" ht="15.75">
      <c r="A41" s="334" t="s">
        <v>318</v>
      </c>
      <c r="B41" s="335"/>
      <c r="C41" s="350" t="s">
        <v>408</v>
      </c>
      <c r="D41" s="335"/>
      <c r="E41" s="335"/>
      <c r="F41" s="339"/>
      <c r="G41" s="340"/>
      <c r="H41" s="341"/>
      <c r="I41" s="346"/>
      <c r="K41" s="320"/>
    </row>
    <row r="42" spans="1:11" s="319" customFormat="1" ht="33.75" customHeight="1">
      <c r="A42" s="343" t="s">
        <v>320</v>
      </c>
      <c r="B42" s="344"/>
      <c r="C42" s="347" t="s">
        <v>409</v>
      </c>
      <c r="D42" s="335">
        <v>1</v>
      </c>
      <c r="E42" s="335" t="s">
        <v>126</v>
      </c>
      <c r="F42" s="339"/>
      <c r="G42" s="340"/>
      <c r="H42" s="341">
        <f>D42*(F42+G42)</f>
        <v>0</v>
      </c>
      <c r="I42" s="346" t="s">
        <v>410</v>
      </c>
      <c r="K42" s="320"/>
    </row>
    <row r="43" spans="1:11" s="319" customFormat="1" ht="15.75">
      <c r="A43" s="343" t="s">
        <v>324</v>
      </c>
      <c r="B43" s="335"/>
      <c r="C43" s="351" t="s">
        <v>411</v>
      </c>
      <c r="D43" s="335">
        <v>5</v>
      </c>
      <c r="E43" s="353" t="s">
        <v>126</v>
      </c>
      <c r="F43" s="339"/>
      <c r="G43" s="340"/>
      <c r="H43" s="341">
        <f t="shared" ref="H43:H45" si="2">D43*(F43+G43)</f>
        <v>0</v>
      </c>
      <c r="I43" s="354" t="s">
        <v>411</v>
      </c>
      <c r="K43" s="320"/>
    </row>
    <row r="44" spans="1:11" s="319" customFormat="1" ht="15.75">
      <c r="A44" s="343" t="s">
        <v>328</v>
      </c>
      <c r="B44" s="335"/>
      <c r="C44" s="351" t="s">
        <v>412</v>
      </c>
      <c r="D44" s="335">
        <v>2</v>
      </c>
      <c r="E44" s="353" t="s">
        <v>126</v>
      </c>
      <c r="F44" s="339"/>
      <c r="G44" s="340"/>
      <c r="H44" s="341">
        <f t="shared" si="2"/>
        <v>0</v>
      </c>
      <c r="I44" s="352" t="s">
        <v>413</v>
      </c>
      <c r="K44" s="320"/>
    </row>
    <row r="45" spans="1:11" s="319" customFormat="1" ht="15.75">
      <c r="A45" s="343" t="s">
        <v>340</v>
      </c>
      <c r="B45" s="335"/>
      <c r="C45" s="351" t="s">
        <v>414</v>
      </c>
      <c r="D45" s="335">
        <v>4</v>
      </c>
      <c r="E45" s="353" t="s">
        <v>126</v>
      </c>
      <c r="F45" s="339"/>
      <c r="G45" s="340"/>
      <c r="H45" s="341">
        <f t="shared" si="2"/>
        <v>0</v>
      </c>
      <c r="I45" s="354" t="s">
        <v>415</v>
      </c>
      <c r="K45" s="320"/>
    </row>
    <row r="46" spans="1:11" s="319" customFormat="1" ht="15.75">
      <c r="A46" s="343"/>
      <c r="B46" s="335"/>
      <c r="C46" s="351"/>
      <c r="D46" s="335"/>
      <c r="E46" s="353"/>
      <c r="F46" s="339"/>
      <c r="G46" s="340"/>
      <c r="H46" s="341"/>
      <c r="I46" s="355"/>
      <c r="K46" s="320"/>
    </row>
    <row r="47" spans="1:11" s="319" customFormat="1" ht="15.75">
      <c r="A47" s="334" t="s">
        <v>318</v>
      </c>
      <c r="B47" s="335"/>
      <c r="C47" s="336" t="s">
        <v>416</v>
      </c>
      <c r="D47" s="335"/>
      <c r="E47" s="335"/>
      <c r="F47" s="339"/>
      <c r="G47" s="340"/>
      <c r="H47" s="341"/>
      <c r="I47" s="346"/>
      <c r="K47" s="320"/>
    </row>
    <row r="48" spans="1:11" s="319" customFormat="1" ht="31.5">
      <c r="A48" s="343" t="s">
        <v>320</v>
      </c>
      <c r="B48" s="335"/>
      <c r="C48" s="351" t="s">
        <v>417</v>
      </c>
      <c r="D48" s="335">
        <v>1</v>
      </c>
      <c r="E48" s="335" t="s">
        <v>64</v>
      </c>
      <c r="F48" s="339"/>
      <c r="G48" s="340"/>
      <c r="H48" s="341">
        <f t="shared" ref="H48" si="3">D48*(F48+G48)</f>
        <v>0</v>
      </c>
      <c r="I48" s="352" t="s">
        <v>417</v>
      </c>
      <c r="K48" s="320"/>
    </row>
    <row r="49" spans="1:20" s="319" customFormat="1" ht="15.75">
      <c r="A49" s="343" t="s">
        <v>324</v>
      </c>
      <c r="B49" s="335"/>
      <c r="C49" s="351" t="s">
        <v>418</v>
      </c>
      <c r="D49" s="335">
        <v>1</v>
      </c>
      <c r="E49" s="335" t="s">
        <v>64</v>
      </c>
      <c r="F49" s="339"/>
      <c r="G49" s="340"/>
      <c r="H49" s="341">
        <f t="shared" si="0"/>
        <v>0</v>
      </c>
      <c r="I49" s="352" t="s">
        <v>418</v>
      </c>
      <c r="K49" s="320"/>
    </row>
    <row r="50" spans="1:20" s="319" customFormat="1" ht="31.5">
      <c r="A50" s="343" t="s">
        <v>328</v>
      </c>
      <c r="B50" s="335"/>
      <c r="C50" s="356" t="s">
        <v>419</v>
      </c>
      <c r="D50" s="335">
        <v>1</v>
      </c>
      <c r="E50" s="335" t="s">
        <v>64</v>
      </c>
      <c r="F50" s="339"/>
      <c r="G50" s="340"/>
      <c r="H50" s="341">
        <f t="shared" si="0"/>
        <v>0</v>
      </c>
      <c r="I50" s="346" t="s">
        <v>420</v>
      </c>
      <c r="K50" s="320"/>
    </row>
    <row r="51" spans="1:20" s="319" customFormat="1" ht="15.75">
      <c r="A51" s="343" t="s">
        <v>340</v>
      </c>
      <c r="B51" s="335"/>
      <c r="C51" s="356" t="s">
        <v>421</v>
      </c>
      <c r="D51" s="335">
        <v>1</v>
      </c>
      <c r="E51" s="335" t="s">
        <v>64</v>
      </c>
      <c r="F51" s="339"/>
      <c r="G51" s="340"/>
      <c r="H51" s="341">
        <f t="shared" si="0"/>
        <v>0</v>
      </c>
      <c r="I51" s="346" t="s">
        <v>421</v>
      </c>
      <c r="K51" s="320"/>
    </row>
    <row r="52" spans="1:20" s="319" customFormat="1" ht="15.75">
      <c r="A52" s="343" t="s">
        <v>351</v>
      </c>
      <c r="B52" s="335"/>
      <c r="C52" s="345" t="s">
        <v>422</v>
      </c>
      <c r="D52" s="335">
        <v>1</v>
      </c>
      <c r="E52" s="335" t="s">
        <v>64</v>
      </c>
      <c r="F52" s="339"/>
      <c r="G52" s="340"/>
      <c r="H52" s="341">
        <f t="shared" si="0"/>
        <v>0</v>
      </c>
      <c r="I52" s="346" t="s">
        <v>422</v>
      </c>
      <c r="K52" s="320"/>
    </row>
    <row r="53" spans="1:20" s="319" customFormat="1" ht="47.25">
      <c r="A53" s="343" t="s">
        <v>369</v>
      </c>
      <c r="B53" s="335"/>
      <c r="C53" s="357" t="s">
        <v>423</v>
      </c>
      <c r="D53" s="335">
        <v>1</v>
      </c>
      <c r="E53" s="335" t="s">
        <v>64</v>
      </c>
      <c r="F53" s="339"/>
      <c r="G53" s="340"/>
      <c r="H53" s="341">
        <f t="shared" si="0"/>
        <v>0</v>
      </c>
      <c r="I53" s="346" t="s">
        <v>423</v>
      </c>
      <c r="K53" s="320"/>
    </row>
    <row r="54" spans="1:20" s="319" customFormat="1" ht="31.5">
      <c r="A54" s="343" t="s">
        <v>373</v>
      </c>
      <c r="B54" s="335"/>
      <c r="C54" s="357" t="s">
        <v>424</v>
      </c>
      <c r="D54" s="335">
        <v>1</v>
      </c>
      <c r="E54" s="335" t="s">
        <v>64</v>
      </c>
      <c r="F54" s="339"/>
      <c r="G54" s="340"/>
      <c r="H54" s="341">
        <f t="shared" si="0"/>
        <v>0</v>
      </c>
      <c r="I54" s="346" t="s">
        <v>425</v>
      </c>
      <c r="K54" s="320"/>
    </row>
    <row r="55" spans="1:20" s="319" customFormat="1" ht="15.75">
      <c r="A55" s="343"/>
      <c r="B55" s="335"/>
      <c r="C55" s="348"/>
      <c r="D55" s="358"/>
      <c r="E55" s="353"/>
      <c r="F55" s="339"/>
      <c r="G55" s="340"/>
      <c r="H55" s="341"/>
      <c r="I55" s="346"/>
      <c r="K55" s="320"/>
    </row>
    <row r="56" spans="1:20" s="319" customFormat="1" ht="15.75">
      <c r="A56" s="334" t="s">
        <v>318</v>
      </c>
      <c r="B56" s="335"/>
      <c r="C56" s="336" t="s">
        <v>426</v>
      </c>
      <c r="D56" s="335"/>
      <c r="E56" s="335"/>
      <c r="F56" s="339"/>
      <c r="G56" s="340"/>
      <c r="H56" s="341"/>
      <c r="I56" s="346"/>
      <c r="K56" s="320"/>
    </row>
    <row r="57" spans="1:20" s="319" customFormat="1" ht="15.75">
      <c r="A57" s="343" t="s">
        <v>320</v>
      </c>
      <c r="B57" s="335"/>
      <c r="C57" s="348" t="s">
        <v>427</v>
      </c>
      <c r="D57" s="359">
        <v>125</v>
      </c>
      <c r="E57" s="335" t="s">
        <v>7</v>
      </c>
      <c r="F57" s="339"/>
      <c r="G57" s="339"/>
      <c r="H57" s="341">
        <f t="shared" si="0"/>
        <v>0</v>
      </c>
      <c r="I57" s="354" t="s">
        <v>428</v>
      </c>
      <c r="K57" s="320"/>
      <c r="L57" s="360"/>
      <c r="M57" s="360"/>
      <c r="N57" s="360"/>
      <c r="O57" s="360"/>
      <c r="P57" s="360"/>
      <c r="Q57" s="360"/>
      <c r="R57" s="360"/>
      <c r="S57" s="360"/>
      <c r="T57" s="360"/>
    </row>
    <row r="58" spans="1:20" s="319" customFormat="1" ht="15.75">
      <c r="A58" s="343" t="s">
        <v>324</v>
      </c>
      <c r="B58" s="335"/>
      <c r="C58" s="348" t="s">
        <v>429</v>
      </c>
      <c r="D58" s="359">
        <v>310</v>
      </c>
      <c r="E58" s="335" t="s">
        <v>7</v>
      </c>
      <c r="F58" s="339"/>
      <c r="G58" s="339"/>
      <c r="H58" s="341">
        <f t="shared" si="0"/>
        <v>0</v>
      </c>
      <c r="I58" s="354" t="s">
        <v>428</v>
      </c>
      <c r="K58" s="320"/>
      <c r="L58" s="360"/>
      <c r="M58" s="360"/>
      <c r="N58" s="360"/>
      <c r="O58" s="360"/>
      <c r="P58" s="360"/>
      <c r="Q58" s="360"/>
      <c r="R58" s="360"/>
      <c r="S58" s="360"/>
      <c r="T58" s="360"/>
    </row>
    <row r="59" spans="1:20" s="319" customFormat="1" ht="15.75">
      <c r="A59" s="343" t="s">
        <v>328</v>
      </c>
      <c r="B59" s="335"/>
      <c r="C59" s="348" t="s">
        <v>430</v>
      </c>
      <c r="D59" s="359">
        <v>120</v>
      </c>
      <c r="E59" s="335" t="s">
        <v>7</v>
      </c>
      <c r="F59" s="339"/>
      <c r="G59" s="339"/>
      <c r="H59" s="341">
        <f t="shared" si="0"/>
        <v>0</v>
      </c>
      <c r="I59" s="354" t="s">
        <v>428</v>
      </c>
      <c r="K59" s="320"/>
      <c r="L59" s="360"/>
      <c r="M59" s="360"/>
      <c r="N59" s="360"/>
      <c r="O59" s="360"/>
      <c r="P59" s="360"/>
      <c r="Q59" s="360"/>
      <c r="R59" s="360"/>
      <c r="S59" s="360"/>
      <c r="T59" s="360"/>
    </row>
    <row r="60" spans="1:20" s="319" customFormat="1" ht="15.75">
      <c r="A60" s="343" t="s">
        <v>340</v>
      </c>
      <c r="B60" s="335"/>
      <c r="C60" s="348" t="s">
        <v>431</v>
      </c>
      <c r="D60" s="359">
        <v>60</v>
      </c>
      <c r="E60" s="335" t="s">
        <v>7</v>
      </c>
      <c r="F60" s="339"/>
      <c r="G60" s="339"/>
      <c r="H60" s="341">
        <f t="shared" si="0"/>
        <v>0</v>
      </c>
      <c r="I60" s="354" t="s">
        <v>428</v>
      </c>
      <c r="K60" s="320"/>
      <c r="L60" s="360"/>
      <c r="M60" s="360"/>
      <c r="N60" s="360"/>
      <c r="O60" s="360"/>
      <c r="P60" s="360"/>
      <c r="Q60" s="360"/>
      <c r="R60" s="360"/>
      <c r="S60" s="360"/>
      <c r="T60" s="360"/>
    </row>
    <row r="61" spans="1:20" s="319" customFormat="1" ht="15.75">
      <c r="A61" s="343" t="s">
        <v>351</v>
      </c>
      <c r="B61" s="335"/>
      <c r="C61" s="348" t="s">
        <v>432</v>
      </c>
      <c r="D61" s="359">
        <v>90</v>
      </c>
      <c r="E61" s="335" t="s">
        <v>7</v>
      </c>
      <c r="F61" s="339"/>
      <c r="G61" s="339"/>
      <c r="H61" s="341">
        <f t="shared" si="0"/>
        <v>0</v>
      </c>
      <c r="I61" s="354" t="s">
        <v>433</v>
      </c>
      <c r="K61" s="320"/>
      <c r="L61" s="360"/>
      <c r="M61" s="360"/>
      <c r="N61" s="360"/>
      <c r="O61" s="360"/>
      <c r="P61" s="360"/>
      <c r="Q61" s="360"/>
      <c r="R61" s="360"/>
      <c r="S61" s="360"/>
      <c r="T61" s="360"/>
    </row>
    <row r="62" spans="1:20" s="319" customFormat="1" ht="15.75">
      <c r="A62" s="343" t="s">
        <v>351</v>
      </c>
      <c r="B62" s="335"/>
      <c r="C62" s="348" t="s">
        <v>434</v>
      </c>
      <c r="D62" s="359">
        <v>60</v>
      </c>
      <c r="E62" s="335" t="s">
        <v>7</v>
      </c>
      <c r="F62" s="339"/>
      <c r="G62" s="339"/>
      <c r="H62" s="341">
        <f t="shared" si="0"/>
        <v>0</v>
      </c>
      <c r="I62" s="354" t="s">
        <v>435</v>
      </c>
      <c r="K62" s="320"/>
      <c r="L62" s="360"/>
      <c r="M62" s="360"/>
      <c r="N62" s="360"/>
      <c r="O62" s="360"/>
      <c r="P62" s="360"/>
      <c r="Q62" s="360"/>
      <c r="R62" s="360"/>
      <c r="S62" s="360"/>
      <c r="T62" s="360"/>
    </row>
    <row r="63" spans="1:20" s="319" customFormat="1" ht="15.75">
      <c r="A63" s="343" t="s">
        <v>369</v>
      </c>
      <c r="B63" s="335"/>
      <c r="C63" s="348" t="s">
        <v>436</v>
      </c>
      <c r="D63" s="359">
        <v>40</v>
      </c>
      <c r="E63" s="335" t="s">
        <v>7</v>
      </c>
      <c r="F63" s="339"/>
      <c r="G63" s="339"/>
      <c r="H63" s="341">
        <f t="shared" si="0"/>
        <v>0</v>
      </c>
      <c r="I63" s="354" t="s">
        <v>437</v>
      </c>
      <c r="K63" s="320"/>
      <c r="L63" s="360"/>
      <c r="M63" s="360"/>
      <c r="N63" s="360"/>
      <c r="O63" s="360"/>
      <c r="P63" s="360"/>
      <c r="Q63" s="360"/>
      <c r="R63" s="360"/>
      <c r="S63" s="360"/>
      <c r="T63" s="360"/>
    </row>
    <row r="64" spans="1:20" s="319" customFormat="1" ht="15.75">
      <c r="A64" s="343" t="s">
        <v>373</v>
      </c>
      <c r="B64" s="335"/>
      <c r="C64" s="348" t="s">
        <v>438</v>
      </c>
      <c r="D64" s="359">
        <v>260</v>
      </c>
      <c r="E64" s="335" t="s">
        <v>7</v>
      </c>
      <c r="F64" s="339"/>
      <c r="G64" s="339"/>
      <c r="H64" s="341">
        <f t="shared" si="0"/>
        <v>0</v>
      </c>
      <c r="I64" s="349" t="s">
        <v>439</v>
      </c>
      <c r="K64" s="320"/>
      <c r="L64" s="360"/>
      <c r="M64" s="360"/>
      <c r="N64" s="360"/>
      <c r="O64" s="360"/>
      <c r="P64" s="360"/>
      <c r="Q64" s="360"/>
      <c r="R64" s="360"/>
      <c r="S64" s="360"/>
      <c r="T64" s="360"/>
    </row>
    <row r="65" spans="1:20" s="319" customFormat="1" ht="15.75">
      <c r="A65" s="343" t="s">
        <v>377</v>
      </c>
      <c r="B65" s="335"/>
      <c r="C65" s="361" t="s">
        <v>440</v>
      </c>
      <c r="D65" s="359">
        <v>760</v>
      </c>
      <c r="E65" s="335" t="s">
        <v>7</v>
      </c>
      <c r="F65" s="339"/>
      <c r="G65" s="339"/>
      <c r="H65" s="341">
        <f t="shared" si="0"/>
        <v>0</v>
      </c>
      <c r="I65" s="354" t="s">
        <v>441</v>
      </c>
      <c r="K65" s="320"/>
      <c r="L65" s="360"/>
      <c r="M65" s="360"/>
      <c r="N65" s="360"/>
      <c r="O65" s="360"/>
      <c r="P65" s="360"/>
      <c r="Q65" s="360"/>
      <c r="R65" s="360"/>
      <c r="S65" s="360"/>
      <c r="T65" s="360"/>
    </row>
    <row r="66" spans="1:20" s="319" customFormat="1" ht="15.75">
      <c r="A66" s="343" t="s">
        <v>381</v>
      </c>
      <c r="B66" s="335"/>
      <c r="C66" s="361" t="s">
        <v>442</v>
      </c>
      <c r="D66" s="359">
        <f>3*190</f>
        <v>570</v>
      </c>
      <c r="E66" s="335" t="s">
        <v>7</v>
      </c>
      <c r="F66" s="339"/>
      <c r="G66" s="339"/>
      <c r="H66" s="341">
        <f t="shared" si="0"/>
        <v>0</v>
      </c>
      <c r="I66" s="354" t="s">
        <v>443</v>
      </c>
      <c r="K66" s="320"/>
      <c r="L66" s="360"/>
      <c r="M66" s="360"/>
      <c r="N66" s="360"/>
      <c r="O66" s="360"/>
      <c r="P66" s="360"/>
      <c r="Q66" s="360"/>
      <c r="R66" s="360"/>
      <c r="S66" s="360"/>
      <c r="T66" s="360"/>
    </row>
    <row r="67" spans="1:20" s="319" customFormat="1" ht="15.75">
      <c r="A67" s="343" t="s">
        <v>385</v>
      </c>
      <c r="B67" s="335"/>
      <c r="C67" s="348" t="s">
        <v>444</v>
      </c>
      <c r="D67" s="359">
        <v>1</v>
      </c>
      <c r="E67" s="335" t="s">
        <v>64</v>
      </c>
      <c r="F67" s="339"/>
      <c r="G67" s="339"/>
      <c r="H67" s="341">
        <f t="shared" si="0"/>
        <v>0</v>
      </c>
      <c r="I67" s="349" t="s">
        <v>444</v>
      </c>
      <c r="K67" s="320"/>
      <c r="L67" s="360"/>
      <c r="M67" s="360"/>
      <c r="N67" s="360"/>
      <c r="O67" s="360"/>
      <c r="P67" s="360"/>
      <c r="Q67" s="360"/>
      <c r="R67" s="360"/>
      <c r="S67" s="360"/>
      <c r="T67" s="360"/>
    </row>
    <row r="68" spans="1:20" s="319" customFormat="1" ht="15.75">
      <c r="A68" s="343"/>
      <c r="B68" s="335"/>
      <c r="C68" s="348"/>
      <c r="D68" s="359"/>
      <c r="E68" s="335"/>
      <c r="F68" s="339"/>
      <c r="G68" s="340"/>
      <c r="H68" s="341"/>
      <c r="I68" s="349"/>
      <c r="K68" s="320"/>
      <c r="L68" s="360"/>
      <c r="M68" s="360"/>
      <c r="N68" s="360"/>
      <c r="O68" s="360"/>
      <c r="P68" s="360"/>
      <c r="Q68" s="360"/>
      <c r="R68" s="360"/>
      <c r="S68" s="360"/>
      <c r="T68" s="360"/>
    </row>
    <row r="69" spans="1:20" s="319" customFormat="1" ht="15.75">
      <c r="A69" s="334" t="s">
        <v>318</v>
      </c>
      <c r="B69" s="335"/>
      <c r="C69" s="336" t="s">
        <v>445</v>
      </c>
      <c r="D69" s="335"/>
      <c r="E69" s="335"/>
      <c r="F69" s="339"/>
      <c r="G69" s="340"/>
      <c r="H69" s="341"/>
      <c r="I69" s="346"/>
      <c r="K69" s="320"/>
    </row>
    <row r="70" spans="1:20" s="319" customFormat="1" ht="15.75">
      <c r="A70" s="343" t="s">
        <v>320</v>
      </c>
      <c r="B70" s="344"/>
      <c r="C70" s="362" t="s">
        <v>446</v>
      </c>
      <c r="D70" s="359">
        <v>30</v>
      </c>
      <c r="E70" s="335" t="s">
        <v>7</v>
      </c>
      <c r="F70" s="339"/>
      <c r="G70" s="339"/>
      <c r="H70" s="341">
        <f t="shared" ref="H70:H80" si="4">D70*(F70+G70)</f>
        <v>0</v>
      </c>
      <c r="I70" s="346" t="s">
        <v>446</v>
      </c>
      <c r="K70" s="320"/>
    </row>
    <row r="71" spans="1:20" s="319" customFormat="1" ht="15.75">
      <c r="A71" s="343" t="s">
        <v>324</v>
      </c>
      <c r="B71" s="344"/>
      <c r="C71" s="362" t="s">
        <v>447</v>
      </c>
      <c r="D71" s="359">
        <v>40</v>
      </c>
      <c r="E71" s="335" t="s">
        <v>7</v>
      </c>
      <c r="F71" s="339"/>
      <c r="G71" s="339"/>
      <c r="H71" s="341">
        <f t="shared" si="4"/>
        <v>0</v>
      </c>
      <c r="I71" s="346" t="s">
        <v>447</v>
      </c>
      <c r="K71" s="320"/>
    </row>
    <row r="72" spans="1:20" s="319" customFormat="1" ht="15.75">
      <c r="A72" s="343" t="s">
        <v>328</v>
      </c>
      <c r="B72" s="344"/>
      <c r="C72" s="362" t="s">
        <v>448</v>
      </c>
      <c r="D72" s="359">
        <v>170</v>
      </c>
      <c r="E72" s="335" t="s">
        <v>7</v>
      </c>
      <c r="F72" s="339"/>
      <c r="G72" s="339"/>
      <c r="H72" s="341">
        <f t="shared" si="4"/>
        <v>0</v>
      </c>
      <c r="I72" s="363" t="s">
        <v>448</v>
      </c>
      <c r="K72" s="320"/>
    </row>
    <row r="73" spans="1:20" s="319" customFormat="1" ht="15.75">
      <c r="A73" s="343" t="s">
        <v>340</v>
      </c>
      <c r="B73" s="344"/>
      <c r="C73" s="362" t="s">
        <v>449</v>
      </c>
      <c r="D73" s="359">
        <v>10</v>
      </c>
      <c r="E73" s="335" t="s">
        <v>7</v>
      </c>
      <c r="F73" s="339"/>
      <c r="G73" s="339"/>
      <c r="H73" s="341">
        <f t="shared" si="4"/>
        <v>0</v>
      </c>
      <c r="I73" s="346" t="s">
        <v>450</v>
      </c>
      <c r="K73" s="320"/>
    </row>
    <row r="74" spans="1:20" s="319" customFormat="1" ht="15.75">
      <c r="A74" s="343" t="s">
        <v>351</v>
      </c>
      <c r="B74" s="344"/>
      <c r="C74" s="362" t="s">
        <v>450</v>
      </c>
      <c r="D74" s="359">
        <v>25</v>
      </c>
      <c r="E74" s="335" t="s">
        <v>7</v>
      </c>
      <c r="F74" s="339"/>
      <c r="G74" s="339"/>
      <c r="H74" s="341">
        <f t="shared" si="4"/>
        <v>0</v>
      </c>
      <c r="I74" s="346" t="s">
        <v>450</v>
      </c>
      <c r="K74" s="320"/>
    </row>
    <row r="75" spans="1:20" s="319" customFormat="1" ht="15.75">
      <c r="A75" s="343" t="s">
        <v>369</v>
      </c>
      <c r="B75" s="344"/>
      <c r="C75" s="362" t="s">
        <v>451</v>
      </c>
      <c r="D75" s="359">
        <v>245</v>
      </c>
      <c r="E75" s="335" t="s">
        <v>7</v>
      </c>
      <c r="F75" s="339"/>
      <c r="G75" s="339"/>
      <c r="H75" s="341">
        <f t="shared" si="4"/>
        <v>0</v>
      </c>
      <c r="I75" s="346" t="s">
        <v>451</v>
      </c>
      <c r="K75" s="320"/>
    </row>
    <row r="76" spans="1:20" s="319" customFormat="1" ht="15.75">
      <c r="A76" s="343" t="s">
        <v>373</v>
      </c>
      <c r="B76" s="335"/>
      <c r="C76" s="351" t="s">
        <v>452</v>
      </c>
      <c r="D76" s="359">
        <v>150</v>
      </c>
      <c r="E76" s="335" t="s">
        <v>7</v>
      </c>
      <c r="F76" s="339"/>
      <c r="G76" s="339"/>
      <c r="H76" s="341">
        <f t="shared" si="4"/>
        <v>0</v>
      </c>
      <c r="I76" s="352" t="s">
        <v>452</v>
      </c>
      <c r="K76" s="320"/>
      <c r="L76" s="360"/>
      <c r="M76" s="360"/>
      <c r="N76" s="360"/>
      <c r="O76" s="360"/>
      <c r="P76" s="360"/>
      <c r="Q76" s="360"/>
      <c r="R76" s="360"/>
      <c r="S76" s="360"/>
      <c r="T76" s="360"/>
    </row>
    <row r="77" spans="1:20" s="319" customFormat="1" ht="15.75">
      <c r="A77" s="343" t="s">
        <v>377</v>
      </c>
      <c r="B77" s="344"/>
      <c r="C77" s="362" t="s">
        <v>453</v>
      </c>
      <c r="D77" s="335">
        <v>1</v>
      </c>
      <c r="E77" s="335" t="s">
        <v>64</v>
      </c>
      <c r="F77" s="339"/>
      <c r="G77" s="340"/>
      <c r="H77" s="341">
        <f t="shared" si="4"/>
        <v>0</v>
      </c>
      <c r="I77" s="346" t="s">
        <v>453</v>
      </c>
      <c r="K77" s="320"/>
    </row>
    <row r="78" spans="1:20" s="319" customFormat="1" ht="15.75">
      <c r="A78" s="343" t="s">
        <v>381</v>
      </c>
      <c r="B78" s="344"/>
      <c r="C78" s="362" t="s">
        <v>454</v>
      </c>
      <c r="D78" s="335">
        <v>1</v>
      </c>
      <c r="E78" s="335" t="s">
        <v>64</v>
      </c>
      <c r="F78" s="339"/>
      <c r="G78" s="340"/>
      <c r="H78" s="341">
        <f t="shared" si="4"/>
        <v>0</v>
      </c>
      <c r="I78" s="346" t="s">
        <v>454</v>
      </c>
      <c r="K78" s="320"/>
    </row>
    <row r="79" spans="1:20" s="319" customFormat="1" ht="31.5">
      <c r="A79" s="343" t="s">
        <v>385</v>
      </c>
      <c r="B79" s="344"/>
      <c r="C79" s="362" t="s">
        <v>455</v>
      </c>
      <c r="D79" s="335">
        <v>1</v>
      </c>
      <c r="E79" s="335" t="s">
        <v>64</v>
      </c>
      <c r="F79" s="339"/>
      <c r="G79" s="340"/>
      <c r="H79" s="341">
        <f t="shared" si="4"/>
        <v>0</v>
      </c>
      <c r="I79" s="346" t="s">
        <v>456</v>
      </c>
      <c r="K79" s="320"/>
    </row>
    <row r="80" spans="1:20" s="319" customFormat="1" ht="31.5">
      <c r="A80" s="343" t="s">
        <v>389</v>
      </c>
      <c r="B80" s="344"/>
      <c r="C80" s="362" t="s">
        <v>457</v>
      </c>
      <c r="D80" s="335">
        <v>1</v>
      </c>
      <c r="E80" s="335" t="s">
        <v>64</v>
      </c>
      <c r="F80" s="339"/>
      <c r="G80" s="340"/>
      <c r="H80" s="341">
        <f t="shared" si="4"/>
        <v>0</v>
      </c>
      <c r="I80" s="346" t="s">
        <v>458</v>
      </c>
      <c r="K80" s="320"/>
    </row>
    <row r="81" spans="1:20" s="319" customFormat="1" ht="15.75">
      <c r="A81" s="343"/>
      <c r="B81" s="335"/>
      <c r="C81" s="348"/>
      <c r="D81" s="358"/>
      <c r="E81" s="353"/>
      <c r="F81" s="339"/>
      <c r="G81" s="340"/>
      <c r="H81" s="341"/>
      <c r="I81" s="346"/>
      <c r="K81" s="320"/>
    </row>
    <row r="82" spans="1:20" s="319" customFormat="1" ht="15.75">
      <c r="A82" s="334" t="s">
        <v>318</v>
      </c>
      <c r="B82" s="335"/>
      <c r="C82" s="336" t="s">
        <v>459</v>
      </c>
      <c r="D82" s="335"/>
      <c r="E82" s="335"/>
      <c r="F82" s="339"/>
      <c r="G82" s="340"/>
      <c r="H82" s="341"/>
      <c r="I82" s="346"/>
      <c r="K82" s="320"/>
    </row>
    <row r="83" spans="1:20" s="319" customFormat="1" ht="31.5">
      <c r="A83" s="343" t="s">
        <v>320</v>
      </c>
      <c r="B83" s="335"/>
      <c r="C83" s="348" t="s">
        <v>460</v>
      </c>
      <c r="D83" s="359">
        <v>500</v>
      </c>
      <c r="E83" s="335" t="s">
        <v>7</v>
      </c>
      <c r="F83" s="339"/>
      <c r="G83" s="339"/>
      <c r="H83" s="341">
        <f t="shared" ref="H83" si="5">D83*(F83+G83)</f>
        <v>0</v>
      </c>
      <c r="I83" s="352" t="s">
        <v>461</v>
      </c>
      <c r="K83" s="320"/>
      <c r="L83" s="360"/>
      <c r="M83" s="360"/>
      <c r="N83" s="360"/>
      <c r="O83" s="360"/>
      <c r="P83" s="360"/>
      <c r="Q83" s="360"/>
      <c r="R83" s="360"/>
      <c r="S83" s="360"/>
      <c r="T83" s="360"/>
    </row>
    <row r="84" spans="1:20" s="319" customFormat="1" ht="31.5">
      <c r="A84" s="343" t="s">
        <v>324</v>
      </c>
      <c r="B84" s="335"/>
      <c r="C84" s="348" t="s">
        <v>462</v>
      </c>
      <c r="D84" s="359">
        <v>850</v>
      </c>
      <c r="E84" s="335" t="s">
        <v>7</v>
      </c>
      <c r="F84" s="339"/>
      <c r="G84" s="339"/>
      <c r="H84" s="341">
        <f>D84*(F84+G84)</f>
        <v>0</v>
      </c>
      <c r="I84" s="352" t="s">
        <v>463</v>
      </c>
      <c r="K84" s="320"/>
      <c r="L84" s="360"/>
      <c r="M84" s="360"/>
      <c r="N84" s="360"/>
      <c r="O84" s="360"/>
      <c r="P84" s="360"/>
      <c r="Q84" s="360"/>
      <c r="R84" s="360"/>
      <c r="S84" s="360"/>
      <c r="T84" s="360"/>
    </row>
    <row r="85" spans="1:20" s="319" customFormat="1" ht="15.75">
      <c r="A85" s="343" t="s">
        <v>328</v>
      </c>
      <c r="B85" s="335"/>
      <c r="C85" s="348" t="s">
        <v>464</v>
      </c>
      <c r="D85" s="359">
        <v>850</v>
      </c>
      <c r="E85" s="335" t="s">
        <v>7</v>
      </c>
      <c r="F85" s="339"/>
      <c r="G85" s="339"/>
      <c r="H85" s="341">
        <f>D85*(F85+G85)</f>
        <v>0</v>
      </c>
      <c r="I85" s="349" t="s">
        <v>464</v>
      </c>
      <c r="K85" s="320"/>
      <c r="L85" s="360"/>
      <c r="M85" s="360"/>
      <c r="N85" s="360"/>
      <c r="O85" s="360"/>
      <c r="P85" s="360"/>
      <c r="Q85" s="360"/>
      <c r="R85" s="360"/>
      <c r="S85" s="360"/>
      <c r="T85" s="360"/>
    </row>
    <row r="86" spans="1:20" s="319" customFormat="1" ht="15.75">
      <c r="A86" s="343" t="s">
        <v>340</v>
      </c>
      <c r="B86" s="335"/>
      <c r="C86" s="348" t="s">
        <v>465</v>
      </c>
      <c r="D86" s="359">
        <v>850</v>
      </c>
      <c r="E86" s="335" t="s">
        <v>7</v>
      </c>
      <c r="F86" s="339"/>
      <c r="G86" s="339"/>
      <c r="H86" s="341"/>
      <c r="I86" s="349" t="s">
        <v>466</v>
      </c>
      <c r="K86" s="320"/>
      <c r="L86" s="360"/>
      <c r="M86" s="360"/>
      <c r="N86" s="360"/>
      <c r="O86" s="360"/>
      <c r="P86" s="360"/>
      <c r="Q86" s="360"/>
      <c r="R86" s="360"/>
      <c r="S86" s="360"/>
      <c r="T86" s="360"/>
    </row>
    <row r="87" spans="1:20" s="319" customFormat="1" ht="15.75">
      <c r="A87" s="343" t="s">
        <v>351</v>
      </c>
      <c r="B87" s="335"/>
      <c r="C87" s="348" t="s">
        <v>452</v>
      </c>
      <c r="D87" s="359">
        <f>850</f>
        <v>850</v>
      </c>
      <c r="E87" s="335" t="s">
        <v>7</v>
      </c>
      <c r="F87" s="339"/>
      <c r="G87" s="339"/>
      <c r="H87" s="341">
        <f>D87*(F87+G87)</f>
        <v>0</v>
      </c>
      <c r="I87" s="352" t="s">
        <v>452</v>
      </c>
      <c r="K87" s="320"/>
      <c r="L87" s="360"/>
      <c r="M87" s="360"/>
      <c r="N87" s="360"/>
      <c r="O87" s="360"/>
      <c r="P87" s="360"/>
      <c r="Q87" s="360"/>
      <c r="R87" s="360"/>
      <c r="S87" s="360"/>
      <c r="T87" s="360"/>
    </row>
    <row r="88" spans="1:20" s="319" customFormat="1" ht="15.75">
      <c r="A88" s="343" t="s">
        <v>369</v>
      </c>
      <c r="B88" s="344"/>
      <c r="C88" s="364" t="s">
        <v>467</v>
      </c>
      <c r="D88" s="359">
        <v>850</v>
      </c>
      <c r="E88" s="335" t="s">
        <v>7</v>
      </c>
      <c r="F88" s="339"/>
      <c r="G88" s="339"/>
      <c r="H88" s="341">
        <f>D88*(F88+G88)</f>
        <v>0</v>
      </c>
      <c r="I88" s="346" t="s">
        <v>467</v>
      </c>
      <c r="K88" s="320"/>
    </row>
    <row r="89" spans="1:20" s="319" customFormat="1" ht="15.75">
      <c r="A89" s="343" t="s">
        <v>373</v>
      </c>
      <c r="B89" s="344"/>
      <c r="C89" s="364" t="s">
        <v>468</v>
      </c>
      <c r="D89" s="359">
        <v>850</v>
      </c>
      <c r="E89" s="335" t="s">
        <v>7</v>
      </c>
      <c r="F89" s="339"/>
      <c r="G89" s="339"/>
      <c r="H89" s="341">
        <f>D89*(F89+G89)</f>
        <v>0</v>
      </c>
      <c r="I89" s="346" t="s">
        <v>468</v>
      </c>
      <c r="K89" s="320"/>
    </row>
    <row r="90" spans="1:20" s="319" customFormat="1" ht="15.75">
      <c r="A90" s="343" t="s">
        <v>377</v>
      </c>
      <c r="B90" s="344"/>
      <c r="C90" s="364" t="s">
        <v>469</v>
      </c>
      <c r="D90" s="359">
        <v>850</v>
      </c>
      <c r="E90" s="335" t="s">
        <v>7</v>
      </c>
      <c r="F90" s="339"/>
      <c r="G90" s="339"/>
      <c r="H90" s="341">
        <f t="shared" ref="H90" si="6">D90*(F90+G90)</f>
        <v>0</v>
      </c>
      <c r="I90" s="346" t="s">
        <v>469</v>
      </c>
      <c r="K90" s="320"/>
    </row>
    <row r="91" spans="1:20" s="319" customFormat="1" ht="15.75">
      <c r="A91" s="343" t="s">
        <v>381</v>
      </c>
      <c r="B91" s="344"/>
      <c r="C91" s="364" t="s">
        <v>470</v>
      </c>
      <c r="D91" s="359">
        <v>850</v>
      </c>
      <c r="E91" s="335" t="s">
        <v>7</v>
      </c>
      <c r="F91" s="339"/>
      <c r="G91" s="339"/>
      <c r="H91" s="341">
        <f>D91*(F91+G91)</f>
        <v>0</v>
      </c>
      <c r="I91" s="346" t="s">
        <v>470</v>
      </c>
      <c r="K91" s="320"/>
    </row>
    <row r="92" spans="1:20" s="319" customFormat="1" ht="15.75">
      <c r="A92" s="343" t="s">
        <v>385</v>
      </c>
      <c r="B92" s="344"/>
      <c r="C92" s="364" t="s">
        <v>471</v>
      </c>
      <c r="D92" s="359">
        <v>16</v>
      </c>
      <c r="E92" s="335" t="s">
        <v>64</v>
      </c>
      <c r="F92" s="339"/>
      <c r="G92" s="339"/>
      <c r="H92" s="341">
        <f>D92*(F92+G92)</f>
        <v>0</v>
      </c>
      <c r="I92" s="346" t="s">
        <v>471</v>
      </c>
      <c r="K92" s="320"/>
    </row>
    <row r="93" spans="1:20" s="319" customFormat="1" ht="15.75">
      <c r="A93" s="343" t="s">
        <v>389</v>
      </c>
      <c r="B93" s="344"/>
      <c r="C93" s="364" t="s">
        <v>472</v>
      </c>
      <c r="D93" s="359">
        <v>8</v>
      </c>
      <c r="E93" s="335" t="s">
        <v>64</v>
      </c>
      <c r="F93" s="339"/>
      <c r="G93" s="339"/>
      <c r="H93" s="341">
        <f t="shared" ref="H93" si="7">D93*(F93+G93)</f>
        <v>0</v>
      </c>
      <c r="I93" s="346" t="s">
        <v>472</v>
      </c>
      <c r="K93" s="320"/>
    </row>
    <row r="94" spans="1:20" s="319" customFormat="1" ht="15.75">
      <c r="A94" s="365"/>
      <c r="B94" s="366"/>
      <c r="C94" s="367"/>
      <c r="D94" s="368"/>
      <c r="E94" s="369"/>
      <c r="F94" s="370"/>
      <c r="G94" s="371"/>
      <c r="H94" s="341"/>
      <c r="I94" s="372"/>
      <c r="K94" s="320"/>
    </row>
    <row r="95" spans="1:20" s="319" customFormat="1" ht="15.75">
      <c r="A95" s="334" t="s">
        <v>318</v>
      </c>
      <c r="B95" s="335"/>
      <c r="C95" s="336" t="s">
        <v>473</v>
      </c>
      <c r="D95" s="335"/>
      <c r="E95" s="335"/>
      <c r="F95" s="339"/>
      <c r="G95" s="340"/>
      <c r="H95" s="341"/>
      <c r="I95" s="346"/>
      <c r="K95" s="320"/>
    </row>
    <row r="96" spans="1:20" s="319" customFormat="1" ht="31.5">
      <c r="A96" s="343" t="s">
        <v>320</v>
      </c>
      <c r="B96" s="335"/>
      <c r="C96" s="347" t="s">
        <v>474</v>
      </c>
      <c r="D96" s="335">
        <v>2</v>
      </c>
      <c r="E96" s="335" t="s">
        <v>126</v>
      </c>
      <c r="F96" s="339"/>
      <c r="G96" s="340"/>
      <c r="H96" s="341">
        <f t="shared" ref="H96:H97" si="8">D96*(F96+G96)</f>
        <v>0</v>
      </c>
      <c r="I96" s="346" t="s">
        <v>475</v>
      </c>
      <c r="K96" s="320"/>
    </row>
    <row r="97" spans="1:20" s="319" customFormat="1" ht="31.5">
      <c r="A97" s="343" t="s">
        <v>324</v>
      </c>
      <c r="B97" s="335"/>
      <c r="C97" s="351" t="s">
        <v>476</v>
      </c>
      <c r="D97" s="359">
        <v>1</v>
      </c>
      <c r="E97" s="335" t="s">
        <v>64</v>
      </c>
      <c r="F97" s="339"/>
      <c r="G97" s="339"/>
      <c r="H97" s="341">
        <f t="shared" si="8"/>
        <v>0</v>
      </c>
      <c r="I97" s="352" t="s">
        <v>476</v>
      </c>
      <c r="K97" s="320"/>
      <c r="L97" s="360"/>
      <c r="M97" s="360"/>
      <c r="N97" s="360"/>
      <c r="O97" s="360"/>
      <c r="P97" s="360"/>
      <c r="Q97" s="360"/>
      <c r="R97" s="360"/>
      <c r="S97" s="360"/>
      <c r="T97" s="360"/>
    </row>
    <row r="98" spans="1:20" s="319" customFormat="1" ht="15.75">
      <c r="A98" s="343" t="s">
        <v>328</v>
      </c>
      <c r="B98" s="335"/>
      <c r="C98" s="348" t="s">
        <v>477</v>
      </c>
      <c r="D98" s="359">
        <v>1</v>
      </c>
      <c r="E98" s="335" t="s">
        <v>64</v>
      </c>
      <c r="F98" s="339"/>
      <c r="G98" s="339"/>
      <c r="H98" s="341">
        <f>D98*(F98+G98)</f>
        <v>0</v>
      </c>
      <c r="I98" s="352" t="s">
        <v>477</v>
      </c>
      <c r="K98" s="320"/>
      <c r="L98" s="360"/>
      <c r="M98" s="360"/>
      <c r="N98" s="360"/>
      <c r="O98" s="360"/>
      <c r="P98" s="360"/>
      <c r="Q98" s="360"/>
      <c r="R98" s="360"/>
      <c r="S98" s="360"/>
      <c r="T98" s="360"/>
    </row>
    <row r="99" spans="1:20" s="319" customFormat="1" ht="15.75">
      <c r="A99" s="365"/>
      <c r="B99" s="366"/>
      <c r="C99" s="367"/>
      <c r="D99" s="368"/>
      <c r="E99" s="369"/>
      <c r="F99" s="370"/>
      <c r="G99" s="371"/>
      <c r="H99" s="341"/>
      <c r="I99" s="372"/>
      <c r="K99" s="320"/>
    </row>
    <row r="100" spans="1:20" s="319" customFormat="1" ht="15.75">
      <c r="A100" s="334" t="s">
        <v>318</v>
      </c>
      <c r="B100" s="335"/>
      <c r="C100" s="336" t="s">
        <v>478</v>
      </c>
      <c r="D100" s="335"/>
      <c r="E100" s="335"/>
      <c r="F100" s="339"/>
      <c r="G100" s="340"/>
      <c r="H100" s="341"/>
      <c r="I100" s="346"/>
      <c r="K100" s="320"/>
    </row>
    <row r="101" spans="1:20" s="319" customFormat="1" ht="31.5">
      <c r="A101" s="343" t="s">
        <v>320</v>
      </c>
      <c r="B101" s="344"/>
      <c r="C101" s="362" t="s">
        <v>479</v>
      </c>
      <c r="D101" s="335">
        <v>1</v>
      </c>
      <c r="E101" s="335" t="s">
        <v>64</v>
      </c>
      <c r="F101" s="339"/>
      <c r="G101" s="340"/>
      <c r="H101" s="341">
        <f t="shared" si="0"/>
        <v>0</v>
      </c>
      <c r="I101" s="346" t="s">
        <v>480</v>
      </c>
      <c r="K101" s="320"/>
    </row>
    <row r="102" spans="1:20" s="319" customFormat="1" ht="15.75">
      <c r="A102" s="343" t="s">
        <v>324</v>
      </c>
      <c r="B102" s="344"/>
      <c r="C102" s="364" t="s">
        <v>481</v>
      </c>
      <c r="D102" s="335">
        <v>1</v>
      </c>
      <c r="E102" s="335" t="s">
        <v>64</v>
      </c>
      <c r="F102" s="339"/>
      <c r="G102" s="340"/>
      <c r="H102" s="341">
        <f t="shared" si="0"/>
        <v>0</v>
      </c>
      <c r="I102" s="346" t="s">
        <v>481</v>
      </c>
      <c r="K102" s="320"/>
    </row>
    <row r="103" spans="1:20" s="319" customFormat="1" ht="15.75">
      <c r="A103" s="343" t="s">
        <v>328</v>
      </c>
      <c r="B103" s="344"/>
      <c r="C103" s="364" t="s">
        <v>482</v>
      </c>
      <c r="D103" s="335">
        <v>1</v>
      </c>
      <c r="E103" s="335" t="s">
        <v>64</v>
      </c>
      <c r="F103" s="339"/>
      <c r="G103" s="340"/>
      <c r="H103" s="341">
        <f t="shared" si="0"/>
        <v>0</v>
      </c>
      <c r="I103" s="346" t="s">
        <v>483</v>
      </c>
      <c r="K103" s="320"/>
    </row>
    <row r="104" spans="1:20" s="319" customFormat="1" ht="31.5">
      <c r="A104" s="343" t="s">
        <v>340</v>
      </c>
      <c r="B104" s="335"/>
      <c r="C104" s="351" t="s">
        <v>484</v>
      </c>
      <c r="D104" s="335">
        <v>1</v>
      </c>
      <c r="E104" s="335" t="s">
        <v>64</v>
      </c>
      <c r="F104" s="339"/>
      <c r="G104" s="340"/>
      <c r="H104" s="341">
        <f t="shared" si="0"/>
        <v>0</v>
      </c>
      <c r="I104" s="346" t="s">
        <v>484</v>
      </c>
      <c r="K104" s="320"/>
    </row>
    <row r="105" spans="1:20" s="319" customFormat="1" ht="15.75">
      <c r="A105" s="343" t="s">
        <v>351</v>
      </c>
      <c r="B105" s="335"/>
      <c r="C105" s="373" t="s">
        <v>485</v>
      </c>
      <c r="D105" s="335">
        <v>1</v>
      </c>
      <c r="E105" s="335" t="s">
        <v>64</v>
      </c>
      <c r="F105" s="339"/>
      <c r="G105" s="340"/>
      <c r="H105" s="341">
        <f t="shared" si="0"/>
        <v>0</v>
      </c>
      <c r="I105" s="374" t="s">
        <v>485</v>
      </c>
      <c r="K105" s="320"/>
    </row>
    <row r="106" spans="1:20" s="319" customFormat="1" ht="15.75">
      <c r="A106" s="343" t="s">
        <v>369</v>
      </c>
      <c r="B106" s="335"/>
      <c r="C106" s="373" t="s">
        <v>486</v>
      </c>
      <c r="D106" s="335">
        <v>1</v>
      </c>
      <c r="E106" s="335" t="s">
        <v>64</v>
      </c>
      <c r="F106" s="339"/>
      <c r="G106" s="340"/>
      <c r="H106" s="341">
        <f t="shared" si="0"/>
        <v>0</v>
      </c>
      <c r="I106" s="346" t="s">
        <v>486</v>
      </c>
      <c r="K106" s="320"/>
    </row>
    <row r="107" spans="1:20" s="319" customFormat="1" ht="15.75">
      <c r="A107" s="343" t="s">
        <v>373</v>
      </c>
      <c r="B107" s="375"/>
      <c r="C107" s="373" t="s">
        <v>487</v>
      </c>
      <c r="D107" s="335">
        <v>1</v>
      </c>
      <c r="E107" s="335" t="s">
        <v>64</v>
      </c>
      <c r="F107" s="339"/>
      <c r="G107" s="340"/>
      <c r="H107" s="341">
        <f t="shared" si="0"/>
        <v>0</v>
      </c>
      <c r="I107" s="376" t="s">
        <v>487</v>
      </c>
      <c r="K107" s="320"/>
    </row>
    <row r="108" spans="1:20" s="319" customFormat="1" ht="16.5" thickBot="1">
      <c r="A108" s="377"/>
      <c r="B108" s="378"/>
      <c r="C108" s="379"/>
      <c r="D108" s="378"/>
      <c r="E108" s="378"/>
      <c r="F108" s="380"/>
      <c r="G108" s="381"/>
      <c r="H108" s="382"/>
      <c r="I108" s="383"/>
      <c r="K108" s="320"/>
    </row>
    <row r="109" spans="1:20" s="319" customFormat="1" ht="16.5" thickTop="1">
      <c r="F109" s="325"/>
      <c r="G109" s="325"/>
      <c r="H109" s="325"/>
      <c r="K109" s="320"/>
    </row>
    <row r="110" spans="1:20">
      <c r="C110" s="385" t="s">
        <v>488</v>
      </c>
      <c r="D110" s="385"/>
      <c r="E110" s="385"/>
      <c r="F110" s="386"/>
      <c r="G110" s="386"/>
      <c r="H110" s="386">
        <f>SUM(H7:H107)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6CEE-7D09-4F50-A7E3-A9E01D1B4310}">
  <sheetPr>
    <pageSetUpPr fitToPage="1"/>
  </sheetPr>
  <dimension ref="A1:T116"/>
  <sheetViews>
    <sheetView topLeftCell="A70" zoomScale="80" zoomScaleNormal="80" workbookViewId="0">
      <selection activeCell="H116" sqref="H116"/>
    </sheetView>
  </sheetViews>
  <sheetFormatPr defaultColWidth="8" defaultRowHeight="15"/>
  <cols>
    <col min="1" max="1" width="9.6640625" style="389" bestFit="1" customWidth="1"/>
    <col min="2" max="2" width="11" style="389" customWidth="1"/>
    <col min="3" max="3" width="77.33203125" style="389" bestFit="1" customWidth="1"/>
    <col min="4" max="4" width="11" style="389" customWidth="1"/>
    <col min="5" max="5" width="10.6640625" style="389" customWidth="1"/>
    <col min="6" max="7" width="14.1640625" style="389" customWidth="1"/>
    <col min="8" max="8" width="13.5" style="389" customWidth="1"/>
    <col min="9" max="9" width="92.83203125" style="389" bestFit="1" customWidth="1"/>
    <col min="10" max="10" width="10.6640625" style="389" customWidth="1"/>
    <col min="11" max="11" width="10.6640625" style="320" customWidth="1"/>
    <col min="12" max="255" width="10.6640625" style="389" customWidth="1"/>
    <col min="256" max="256" width="9.6640625" style="389" bestFit="1" customWidth="1"/>
    <col min="257" max="257" width="8" style="389"/>
    <col min="258" max="258" width="9.6640625" style="389" bestFit="1" customWidth="1"/>
    <col min="259" max="259" width="8" style="389"/>
    <col min="260" max="260" width="77.33203125" style="389" bestFit="1" customWidth="1"/>
    <col min="261" max="261" width="11" style="389" customWidth="1"/>
    <col min="262" max="262" width="10.6640625" style="389" customWidth="1"/>
    <col min="263" max="263" width="14.1640625" style="389" customWidth="1"/>
    <col min="264" max="264" width="13.5" style="389" customWidth="1"/>
    <col min="265" max="265" width="92.83203125" style="389" bestFit="1" customWidth="1"/>
    <col min="266" max="511" width="10.6640625" style="389" customWidth="1"/>
    <col min="512" max="512" width="9.6640625" style="389" bestFit="1" customWidth="1"/>
    <col min="513" max="513" width="8" style="389"/>
    <col min="514" max="514" width="9.6640625" style="389" bestFit="1" customWidth="1"/>
    <col min="515" max="515" width="8" style="389"/>
    <col min="516" max="516" width="77.33203125" style="389" bestFit="1" customWidth="1"/>
    <col min="517" max="517" width="11" style="389" customWidth="1"/>
    <col min="518" max="518" width="10.6640625" style="389" customWidth="1"/>
    <col min="519" max="519" width="14.1640625" style="389" customWidth="1"/>
    <col min="520" max="520" width="13.5" style="389" customWidth="1"/>
    <col min="521" max="521" width="92.83203125" style="389" bestFit="1" customWidth="1"/>
    <col min="522" max="767" width="10.6640625" style="389" customWidth="1"/>
    <col min="768" max="768" width="9.6640625" style="389" bestFit="1" customWidth="1"/>
    <col min="769" max="769" width="8" style="389"/>
    <col min="770" max="770" width="9.6640625" style="389" bestFit="1" customWidth="1"/>
    <col min="771" max="771" width="8" style="389"/>
    <col min="772" max="772" width="77.33203125" style="389" bestFit="1" customWidth="1"/>
    <col min="773" max="773" width="11" style="389" customWidth="1"/>
    <col min="774" max="774" width="10.6640625" style="389" customWidth="1"/>
    <col min="775" max="775" width="14.1640625" style="389" customWidth="1"/>
    <col min="776" max="776" width="13.5" style="389" customWidth="1"/>
    <col min="777" max="777" width="92.83203125" style="389" bestFit="1" customWidth="1"/>
    <col min="778" max="1023" width="10.6640625" style="389" customWidth="1"/>
    <col min="1024" max="1024" width="9.6640625" style="389" bestFit="1" customWidth="1"/>
    <col min="1025" max="1025" width="8" style="389"/>
    <col min="1026" max="1026" width="9.6640625" style="389" bestFit="1" customWidth="1"/>
    <col min="1027" max="1027" width="8" style="389"/>
    <col min="1028" max="1028" width="77.33203125" style="389" bestFit="1" customWidth="1"/>
    <col min="1029" max="1029" width="11" style="389" customWidth="1"/>
    <col min="1030" max="1030" width="10.6640625" style="389" customWidth="1"/>
    <col min="1031" max="1031" width="14.1640625" style="389" customWidth="1"/>
    <col min="1032" max="1032" width="13.5" style="389" customWidth="1"/>
    <col min="1033" max="1033" width="92.83203125" style="389" bestFit="1" customWidth="1"/>
    <col min="1034" max="1279" width="10.6640625" style="389" customWidth="1"/>
    <col min="1280" max="1280" width="9.6640625" style="389" bestFit="1" customWidth="1"/>
    <col min="1281" max="1281" width="8" style="389"/>
    <col min="1282" max="1282" width="9.6640625" style="389" bestFit="1" customWidth="1"/>
    <col min="1283" max="1283" width="8" style="389"/>
    <col min="1284" max="1284" width="77.33203125" style="389" bestFit="1" customWidth="1"/>
    <col min="1285" max="1285" width="11" style="389" customWidth="1"/>
    <col min="1286" max="1286" width="10.6640625" style="389" customWidth="1"/>
    <col min="1287" max="1287" width="14.1640625" style="389" customWidth="1"/>
    <col min="1288" max="1288" width="13.5" style="389" customWidth="1"/>
    <col min="1289" max="1289" width="92.83203125" style="389" bestFit="1" customWidth="1"/>
    <col min="1290" max="1535" width="10.6640625" style="389" customWidth="1"/>
    <col min="1536" max="1536" width="9.6640625" style="389" bestFit="1" customWidth="1"/>
    <col min="1537" max="1537" width="8" style="389"/>
    <col min="1538" max="1538" width="9.6640625" style="389" bestFit="1" customWidth="1"/>
    <col min="1539" max="1539" width="8" style="389"/>
    <col min="1540" max="1540" width="77.33203125" style="389" bestFit="1" customWidth="1"/>
    <col min="1541" max="1541" width="11" style="389" customWidth="1"/>
    <col min="1542" max="1542" width="10.6640625" style="389" customWidth="1"/>
    <col min="1543" max="1543" width="14.1640625" style="389" customWidth="1"/>
    <col min="1544" max="1544" width="13.5" style="389" customWidth="1"/>
    <col min="1545" max="1545" width="92.83203125" style="389" bestFit="1" customWidth="1"/>
    <col min="1546" max="1791" width="10.6640625" style="389" customWidth="1"/>
    <col min="1792" max="1792" width="9.6640625" style="389" bestFit="1" customWidth="1"/>
    <col min="1793" max="1793" width="8" style="389"/>
    <col min="1794" max="1794" width="9.6640625" style="389" bestFit="1" customWidth="1"/>
    <col min="1795" max="1795" width="8" style="389"/>
    <col min="1796" max="1796" width="77.33203125" style="389" bestFit="1" customWidth="1"/>
    <col min="1797" max="1797" width="11" style="389" customWidth="1"/>
    <col min="1798" max="1798" width="10.6640625" style="389" customWidth="1"/>
    <col min="1799" max="1799" width="14.1640625" style="389" customWidth="1"/>
    <col min="1800" max="1800" width="13.5" style="389" customWidth="1"/>
    <col min="1801" max="1801" width="92.83203125" style="389" bestFit="1" customWidth="1"/>
    <col min="1802" max="2047" width="10.6640625" style="389" customWidth="1"/>
    <col min="2048" max="2048" width="9.6640625" style="389" bestFit="1" customWidth="1"/>
    <col min="2049" max="2049" width="8" style="389"/>
    <col min="2050" max="2050" width="9.6640625" style="389" bestFit="1" customWidth="1"/>
    <col min="2051" max="2051" width="8" style="389"/>
    <col min="2052" max="2052" width="77.33203125" style="389" bestFit="1" customWidth="1"/>
    <col min="2053" max="2053" width="11" style="389" customWidth="1"/>
    <col min="2054" max="2054" width="10.6640625" style="389" customWidth="1"/>
    <col min="2055" max="2055" width="14.1640625" style="389" customWidth="1"/>
    <col min="2056" max="2056" width="13.5" style="389" customWidth="1"/>
    <col min="2057" max="2057" width="92.83203125" style="389" bestFit="1" customWidth="1"/>
    <col min="2058" max="2303" width="10.6640625" style="389" customWidth="1"/>
    <col min="2304" max="2304" width="9.6640625" style="389" bestFit="1" customWidth="1"/>
    <col min="2305" max="2305" width="8" style="389"/>
    <col min="2306" max="2306" width="9.6640625" style="389" bestFit="1" customWidth="1"/>
    <col min="2307" max="2307" width="8" style="389"/>
    <col min="2308" max="2308" width="77.33203125" style="389" bestFit="1" customWidth="1"/>
    <col min="2309" max="2309" width="11" style="389" customWidth="1"/>
    <col min="2310" max="2310" width="10.6640625" style="389" customWidth="1"/>
    <col min="2311" max="2311" width="14.1640625" style="389" customWidth="1"/>
    <col min="2312" max="2312" width="13.5" style="389" customWidth="1"/>
    <col min="2313" max="2313" width="92.83203125" style="389" bestFit="1" customWidth="1"/>
    <col min="2314" max="2559" width="10.6640625" style="389" customWidth="1"/>
    <col min="2560" max="2560" width="9.6640625" style="389" bestFit="1" customWidth="1"/>
    <col min="2561" max="2561" width="8" style="389"/>
    <col min="2562" max="2562" width="9.6640625" style="389" bestFit="1" customWidth="1"/>
    <col min="2563" max="2563" width="8" style="389"/>
    <col min="2564" max="2564" width="77.33203125" style="389" bestFit="1" customWidth="1"/>
    <col min="2565" max="2565" width="11" style="389" customWidth="1"/>
    <col min="2566" max="2566" width="10.6640625" style="389" customWidth="1"/>
    <col min="2567" max="2567" width="14.1640625" style="389" customWidth="1"/>
    <col min="2568" max="2568" width="13.5" style="389" customWidth="1"/>
    <col min="2569" max="2569" width="92.83203125" style="389" bestFit="1" customWidth="1"/>
    <col min="2570" max="2815" width="10.6640625" style="389" customWidth="1"/>
    <col min="2816" max="2816" width="9.6640625" style="389" bestFit="1" customWidth="1"/>
    <col min="2817" max="2817" width="8" style="389"/>
    <col min="2818" max="2818" width="9.6640625" style="389" bestFit="1" customWidth="1"/>
    <col min="2819" max="2819" width="8" style="389"/>
    <col min="2820" max="2820" width="77.33203125" style="389" bestFit="1" customWidth="1"/>
    <col min="2821" max="2821" width="11" style="389" customWidth="1"/>
    <col min="2822" max="2822" width="10.6640625" style="389" customWidth="1"/>
    <col min="2823" max="2823" width="14.1640625" style="389" customWidth="1"/>
    <col min="2824" max="2824" width="13.5" style="389" customWidth="1"/>
    <col min="2825" max="2825" width="92.83203125" style="389" bestFit="1" customWidth="1"/>
    <col min="2826" max="3071" width="10.6640625" style="389" customWidth="1"/>
    <col min="3072" max="3072" width="9.6640625" style="389" bestFit="1" customWidth="1"/>
    <col min="3073" max="3073" width="8" style="389"/>
    <col min="3074" max="3074" width="9.6640625" style="389" bestFit="1" customWidth="1"/>
    <col min="3075" max="3075" width="8" style="389"/>
    <col min="3076" max="3076" width="77.33203125" style="389" bestFit="1" customWidth="1"/>
    <col min="3077" max="3077" width="11" style="389" customWidth="1"/>
    <col min="3078" max="3078" width="10.6640625" style="389" customWidth="1"/>
    <col min="3079" max="3079" width="14.1640625" style="389" customWidth="1"/>
    <col min="3080" max="3080" width="13.5" style="389" customWidth="1"/>
    <col min="3081" max="3081" width="92.83203125" style="389" bestFit="1" customWidth="1"/>
    <col min="3082" max="3327" width="10.6640625" style="389" customWidth="1"/>
    <col min="3328" max="3328" width="9.6640625" style="389" bestFit="1" customWidth="1"/>
    <col min="3329" max="3329" width="8" style="389"/>
    <col min="3330" max="3330" width="9.6640625" style="389" bestFit="1" customWidth="1"/>
    <col min="3331" max="3331" width="8" style="389"/>
    <col min="3332" max="3332" width="77.33203125" style="389" bestFit="1" customWidth="1"/>
    <col min="3333" max="3333" width="11" style="389" customWidth="1"/>
    <col min="3334" max="3334" width="10.6640625" style="389" customWidth="1"/>
    <col min="3335" max="3335" width="14.1640625" style="389" customWidth="1"/>
    <col min="3336" max="3336" width="13.5" style="389" customWidth="1"/>
    <col min="3337" max="3337" width="92.83203125" style="389" bestFit="1" customWidth="1"/>
    <col min="3338" max="3583" width="10.6640625" style="389" customWidth="1"/>
    <col min="3584" max="3584" width="9.6640625" style="389" bestFit="1" customWidth="1"/>
    <col min="3585" max="3585" width="8" style="389"/>
    <col min="3586" max="3586" width="9.6640625" style="389" bestFit="1" customWidth="1"/>
    <col min="3587" max="3587" width="8" style="389"/>
    <col min="3588" max="3588" width="77.33203125" style="389" bestFit="1" customWidth="1"/>
    <col min="3589" max="3589" width="11" style="389" customWidth="1"/>
    <col min="3590" max="3590" width="10.6640625" style="389" customWidth="1"/>
    <col min="3591" max="3591" width="14.1640625" style="389" customWidth="1"/>
    <col min="3592" max="3592" width="13.5" style="389" customWidth="1"/>
    <col min="3593" max="3593" width="92.83203125" style="389" bestFit="1" customWidth="1"/>
    <col min="3594" max="3839" width="10.6640625" style="389" customWidth="1"/>
    <col min="3840" max="3840" width="9.6640625" style="389" bestFit="1" customWidth="1"/>
    <col min="3841" max="3841" width="8" style="389"/>
    <col min="3842" max="3842" width="9.6640625" style="389" bestFit="1" customWidth="1"/>
    <col min="3843" max="3843" width="8" style="389"/>
    <col min="3844" max="3844" width="77.33203125" style="389" bestFit="1" customWidth="1"/>
    <col min="3845" max="3845" width="11" style="389" customWidth="1"/>
    <col min="3846" max="3846" width="10.6640625" style="389" customWidth="1"/>
    <col min="3847" max="3847" width="14.1640625" style="389" customWidth="1"/>
    <col min="3848" max="3848" width="13.5" style="389" customWidth="1"/>
    <col min="3849" max="3849" width="92.83203125" style="389" bestFit="1" customWidth="1"/>
    <col min="3850" max="4095" width="10.6640625" style="389" customWidth="1"/>
    <col min="4096" max="4096" width="9.6640625" style="389" bestFit="1" customWidth="1"/>
    <col min="4097" max="4097" width="8" style="389"/>
    <col min="4098" max="4098" width="9.6640625" style="389" bestFit="1" customWidth="1"/>
    <col min="4099" max="4099" width="8" style="389"/>
    <col min="4100" max="4100" width="77.33203125" style="389" bestFit="1" customWidth="1"/>
    <col min="4101" max="4101" width="11" style="389" customWidth="1"/>
    <col min="4102" max="4102" width="10.6640625" style="389" customWidth="1"/>
    <col min="4103" max="4103" width="14.1640625" style="389" customWidth="1"/>
    <col min="4104" max="4104" width="13.5" style="389" customWidth="1"/>
    <col min="4105" max="4105" width="92.83203125" style="389" bestFit="1" customWidth="1"/>
    <col min="4106" max="4351" width="10.6640625" style="389" customWidth="1"/>
    <col min="4352" max="4352" width="9.6640625" style="389" bestFit="1" customWidth="1"/>
    <col min="4353" max="4353" width="8" style="389"/>
    <col min="4354" max="4354" width="9.6640625" style="389" bestFit="1" customWidth="1"/>
    <col min="4355" max="4355" width="8" style="389"/>
    <col min="4356" max="4356" width="77.33203125" style="389" bestFit="1" customWidth="1"/>
    <col min="4357" max="4357" width="11" style="389" customWidth="1"/>
    <col min="4358" max="4358" width="10.6640625" style="389" customWidth="1"/>
    <col min="4359" max="4359" width="14.1640625" style="389" customWidth="1"/>
    <col min="4360" max="4360" width="13.5" style="389" customWidth="1"/>
    <col min="4361" max="4361" width="92.83203125" style="389" bestFit="1" customWidth="1"/>
    <col min="4362" max="4607" width="10.6640625" style="389" customWidth="1"/>
    <col min="4608" max="4608" width="9.6640625" style="389" bestFit="1" customWidth="1"/>
    <col min="4609" max="4609" width="8" style="389"/>
    <col min="4610" max="4610" width="9.6640625" style="389" bestFit="1" customWidth="1"/>
    <col min="4611" max="4611" width="8" style="389"/>
    <col min="4612" max="4612" width="77.33203125" style="389" bestFit="1" customWidth="1"/>
    <col min="4613" max="4613" width="11" style="389" customWidth="1"/>
    <col min="4614" max="4614" width="10.6640625" style="389" customWidth="1"/>
    <col min="4615" max="4615" width="14.1640625" style="389" customWidth="1"/>
    <col min="4616" max="4616" width="13.5" style="389" customWidth="1"/>
    <col min="4617" max="4617" width="92.83203125" style="389" bestFit="1" customWidth="1"/>
    <col min="4618" max="4863" width="10.6640625" style="389" customWidth="1"/>
    <col min="4864" max="4864" width="9.6640625" style="389" bestFit="1" customWidth="1"/>
    <col min="4865" max="4865" width="8" style="389"/>
    <col min="4866" max="4866" width="9.6640625" style="389" bestFit="1" customWidth="1"/>
    <col min="4867" max="4867" width="8" style="389"/>
    <col min="4868" max="4868" width="77.33203125" style="389" bestFit="1" customWidth="1"/>
    <col min="4869" max="4869" width="11" style="389" customWidth="1"/>
    <col min="4870" max="4870" width="10.6640625" style="389" customWidth="1"/>
    <col min="4871" max="4871" width="14.1640625" style="389" customWidth="1"/>
    <col min="4872" max="4872" width="13.5" style="389" customWidth="1"/>
    <col min="4873" max="4873" width="92.83203125" style="389" bestFit="1" customWidth="1"/>
    <col min="4874" max="5119" width="10.6640625" style="389" customWidth="1"/>
    <col min="5120" max="5120" width="9.6640625" style="389" bestFit="1" customWidth="1"/>
    <col min="5121" max="5121" width="8" style="389"/>
    <col min="5122" max="5122" width="9.6640625" style="389" bestFit="1" customWidth="1"/>
    <col min="5123" max="5123" width="8" style="389"/>
    <col min="5124" max="5124" width="77.33203125" style="389" bestFit="1" customWidth="1"/>
    <col min="5125" max="5125" width="11" style="389" customWidth="1"/>
    <col min="5126" max="5126" width="10.6640625" style="389" customWidth="1"/>
    <col min="5127" max="5127" width="14.1640625" style="389" customWidth="1"/>
    <col min="5128" max="5128" width="13.5" style="389" customWidth="1"/>
    <col min="5129" max="5129" width="92.83203125" style="389" bestFit="1" customWidth="1"/>
    <col min="5130" max="5375" width="10.6640625" style="389" customWidth="1"/>
    <col min="5376" max="5376" width="9.6640625" style="389" bestFit="1" customWidth="1"/>
    <col min="5377" max="5377" width="8" style="389"/>
    <col min="5378" max="5378" width="9.6640625" style="389" bestFit="1" customWidth="1"/>
    <col min="5379" max="5379" width="8" style="389"/>
    <col min="5380" max="5380" width="77.33203125" style="389" bestFit="1" customWidth="1"/>
    <col min="5381" max="5381" width="11" style="389" customWidth="1"/>
    <col min="5382" max="5382" width="10.6640625" style="389" customWidth="1"/>
    <col min="5383" max="5383" width="14.1640625" style="389" customWidth="1"/>
    <col min="5384" max="5384" width="13.5" style="389" customWidth="1"/>
    <col min="5385" max="5385" width="92.83203125" style="389" bestFit="1" customWidth="1"/>
    <col min="5386" max="5631" width="10.6640625" style="389" customWidth="1"/>
    <col min="5632" max="5632" width="9.6640625" style="389" bestFit="1" customWidth="1"/>
    <col min="5633" max="5633" width="8" style="389"/>
    <col min="5634" max="5634" width="9.6640625" style="389" bestFit="1" customWidth="1"/>
    <col min="5635" max="5635" width="8" style="389"/>
    <col min="5636" max="5636" width="77.33203125" style="389" bestFit="1" customWidth="1"/>
    <col min="5637" max="5637" width="11" style="389" customWidth="1"/>
    <col min="5638" max="5638" width="10.6640625" style="389" customWidth="1"/>
    <col min="5639" max="5639" width="14.1640625" style="389" customWidth="1"/>
    <col min="5640" max="5640" width="13.5" style="389" customWidth="1"/>
    <col min="5641" max="5641" width="92.83203125" style="389" bestFit="1" customWidth="1"/>
    <col min="5642" max="5887" width="10.6640625" style="389" customWidth="1"/>
    <col min="5888" max="5888" width="9.6640625" style="389" bestFit="1" customWidth="1"/>
    <col min="5889" max="5889" width="8" style="389"/>
    <col min="5890" max="5890" width="9.6640625" style="389" bestFit="1" customWidth="1"/>
    <col min="5891" max="5891" width="8" style="389"/>
    <col min="5892" max="5892" width="77.33203125" style="389" bestFit="1" customWidth="1"/>
    <col min="5893" max="5893" width="11" style="389" customWidth="1"/>
    <col min="5894" max="5894" width="10.6640625" style="389" customWidth="1"/>
    <col min="5895" max="5895" width="14.1640625" style="389" customWidth="1"/>
    <col min="5896" max="5896" width="13.5" style="389" customWidth="1"/>
    <col min="5897" max="5897" width="92.83203125" style="389" bestFit="1" customWidth="1"/>
    <col min="5898" max="6143" width="10.6640625" style="389" customWidth="1"/>
    <col min="6144" max="6144" width="9.6640625" style="389" bestFit="1" customWidth="1"/>
    <col min="6145" max="6145" width="8" style="389"/>
    <col min="6146" max="6146" width="9.6640625" style="389" bestFit="1" customWidth="1"/>
    <col min="6147" max="6147" width="8" style="389"/>
    <col min="6148" max="6148" width="77.33203125" style="389" bestFit="1" customWidth="1"/>
    <col min="6149" max="6149" width="11" style="389" customWidth="1"/>
    <col min="6150" max="6150" width="10.6640625" style="389" customWidth="1"/>
    <col min="6151" max="6151" width="14.1640625" style="389" customWidth="1"/>
    <col min="6152" max="6152" width="13.5" style="389" customWidth="1"/>
    <col min="6153" max="6153" width="92.83203125" style="389" bestFit="1" customWidth="1"/>
    <col min="6154" max="6399" width="10.6640625" style="389" customWidth="1"/>
    <col min="6400" max="6400" width="9.6640625" style="389" bestFit="1" customWidth="1"/>
    <col min="6401" max="6401" width="8" style="389"/>
    <col min="6402" max="6402" width="9.6640625" style="389" bestFit="1" customWidth="1"/>
    <col min="6403" max="6403" width="8" style="389"/>
    <col min="6404" max="6404" width="77.33203125" style="389" bestFit="1" customWidth="1"/>
    <col min="6405" max="6405" width="11" style="389" customWidth="1"/>
    <col min="6406" max="6406" width="10.6640625" style="389" customWidth="1"/>
    <col min="6407" max="6407" width="14.1640625" style="389" customWidth="1"/>
    <col min="6408" max="6408" width="13.5" style="389" customWidth="1"/>
    <col min="6409" max="6409" width="92.83203125" style="389" bestFit="1" customWidth="1"/>
    <col min="6410" max="6655" width="10.6640625" style="389" customWidth="1"/>
    <col min="6656" max="6656" width="9.6640625" style="389" bestFit="1" customWidth="1"/>
    <col min="6657" max="6657" width="8" style="389"/>
    <col min="6658" max="6658" width="9.6640625" style="389" bestFit="1" customWidth="1"/>
    <col min="6659" max="6659" width="8" style="389"/>
    <col min="6660" max="6660" width="77.33203125" style="389" bestFit="1" customWidth="1"/>
    <col min="6661" max="6661" width="11" style="389" customWidth="1"/>
    <col min="6662" max="6662" width="10.6640625" style="389" customWidth="1"/>
    <col min="6663" max="6663" width="14.1640625" style="389" customWidth="1"/>
    <col min="6664" max="6664" width="13.5" style="389" customWidth="1"/>
    <col min="6665" max="6665" width="92.83203125" style="389" bestFit="1" customWidth="1"/>
    <col min="6666" max="6911" width="10.6640625" style="389" customWidth="1"/>
    <col min="6912" max="6912" width="9.6640625" style="389" bestFit="1" customWidth="1"/>
    <col min="6913" max="6913" width="8" style="389"/>
    <col min="6914" max="6914" width="9.6640625" style="389" bestFit="1" customWidth="1"/>
    <col min="6915" max="6915" width="8" style="389"/>
    <col min="6916" max="6916" width="77.33203125" style="389" bestFit="1" customWidth="1"/>
    <col min="6917" max="6917" width="11" style="389" customWidth="1"/>
    <col min="6918" max="6918" width="10.6640625" style="389" customWidth="1"/>
    <col min="6919" max="6919" width="14.1640625" style="389" customWidth="1"/>
    <col min="6920" max="6920" width="13.5" style="389" customWidth="1"/>
    <col min="6921" max="6921" width="92.83203125" style="389" bestFit="1" customWidth="1"/>
    <col min="6922" max="7167" width="10.6640625" style="389" customWidth="1"/>
    <col min="7168" max="7168" width="9.6640625" style="389" bestFit="1" customWidth="1"/>
    <col min="7169" max="7169" width="8" style="389"/>
    <col min="7170" max="7170" width="9.6640625" style="389" bestFit="1" customWidth="1"/>
    <col min="7171" max="7171" width="8" style="389"/>
    <col min="7172" max="7172" width="77.33203125" style="389" bestFit="1" customWidth="1"/>
    <col min="7173" max="7173" width="11" style="389" customWidth="1"/>
    <col min="7174" max="7174" width="10.6640625" style="389" customWidth="1"/>
    <col min="7175" max="7175" width="14.1640625" style="389" customWidth="1"/>
    <col min="7176" max="7176" width="13.5" style="389" customWidth="1"/>
    <col min="7177" max="7177" width="92.83203125" style="389" bestFit="1" customWidth="1"/>
    <col min="7178" max="7423" width="10.6640625" style="389" customWidth="1"/>
    <col min="7424" max="7424" width="9.6640625" style="389" bestFit="1" customWidth="1"/>
    <col min="7425" max="7425" width="8" style="389"/>
    <col min="7426" max="7426" width="9.6640625" style="389" bestFit="1" customWidth="1"/>
    <col min="7427" max="7427" width="8" style="389"/>
    <col min="7428" max="7428" width="77.33203125" style="389" bestFit="1" customWidth="1"/>
    <col min="7429" max="7429" width="11" style="389" customWidth="1"/>
    <col min="7430" max="7430" width="10.6640625" style="389" customWidth="1"/>
    <col min="7431" max="7431" width="14.1640625" style="389" customWidth="1"/>
    <col min="7432" max="7432" width="13.5" style="389" customWidth="1"/>
    <col min="7433" max="7433" width="92.83203125" style="389" bestFit="1" customWidth="1"/>
    <col min="7434" max="7679" width="10.6640625" style="389" customWidth="1"/>
    <col min="7680" max="7680" width="9.6640625" style="389" bestFit="1" customWidth="1"/>
    <col min="7681" max="7681" width="8" style="389"/>
    <col min="7682" max="7682" width="9.6640625" style="389" bestFit="1" customWidth="1"/>
    <col min="7683" max="7683" width="8" style="389"/>
    <col min="7684" max="7684" width="77.33203125" style="389" bestFit="1" customWidth="1"/>
    <col min="7685" max="7685" width="11" style="389" customWidth="1"/>
    <col min="7686" max="7686" width="10.6640625" style="389" customWidth="1"/>
    <col min="7687" max="7687" width="14.1640625" style="389" customWidth="1"/>
    <col min="7688" max="7688" width="13.5" style="389" customWidth="1"/>
    <col min="7689" max="7689" width="92.83203125" style="389" bestFit="1" customWidth="1"/>
    <col min="7690" max="7935" width="10.6640625" style="389" customWidth="1"/>
    <col min="7936" max="7936" width="9.6640625" style="389" bestFit="1" customWidth="1"/>
    <col min="7937" max="7937" width="8" style="389"/>
    <col min="7938" max="7938" width="9.6640625" style="389" bestFit="1" customWidth="1"/>
    <col min="7939" max="7939" width="8" style="389"/>
    <col min="7940" max="7940" width="77.33203125" style="389" bestFit="1" customWidth="1"/>
    <col min="7941" max="7941" width="11" style="389" customWidth="1"/>
    <col min="7942" max="7942" width="10.6640625" style="389" customWidth="1"/>
    <col min="7943" max="7943" width="14.1640625" style="389" customWidth="1"/>
    <col min="7944" max="7944" width="13.5" style="389" customWidth="1"/>
    <col min="7945" max="7945" width="92.83203125" style="389" bestFit="1" customWidth="1"/>
    <col min="7946" max="8191" width="10.6640625" style="389" customWidth="1"/>
    <col min="8192" max="8192" width="9.6640625" style="389" bestFit="1" customWidth="1"/>
    <col min="8193" max="8193" width="8" style="389"/>
    <col min="8194" max="8194" width="9.6640625" style="389" bestFit="1" customWidth="1"/>
    <col min="8195" max="8195" width="8" style="389"/>
    <col min="8196" max="8196" width="77.33203125" style="389" bestFit="1" customWidth="1"/>
    <col min="8197" max="8197" width="11" style="389" customWidth="1"/>
    <col min="8198" max="8198" width="10.6640625" style="389" customWidth="1"/>
    <col min="8199" max="8199" width="14.1640625" style="389" customWidth="1"/>
    <col min="8200" max="8200" width="13.5" style="389" customWidth="1"/>
    <col min="8201" max="8201" width="92.83203125" style="389" bestFit="1" customWidth="1"/>
    <col min="8202" max="8447" width="10.6640625" style="389" customWidth="1"/>
    <col min="8448" max="8448" width="9.6640625" style="389" bestFit="1" customWidth="1"/>
    <col min="8449" max="8449" width="8" style="389"/>
    <col min="8450" max="8450" width="9.6640625" style="389" bestFit="1" customWidth="1"/>
    <col min="8451" max="8451" width="8" style="389"/>
    <col min="8452" max="8452" width="77.33203125" style="389" bestFit="1" customWidth="1"/>
    <col min="8453" max="8453" width="11" style="389" customWidth="1"/>
    <col min="8454" max="8454" width="10.6640625" style="389" customWidth="1"/>
    <col min="8455" max="8455" width="14.1640625" style="389" customWidth="1"/>
    <col min="8456" max="8456" width="13.5" style="389" customWidth="1"/>
    <col min="8457" max="8457" width="92.83203125" style="389" bestFit="1" customWidth="1"/>
    <col min="8458" max="8703" width="10.6640625" style="389" customWidth="1"/>
    <col min="8704" max="8704" width="9.6640625" style="389" bestFit="1" customWidth="1"/>
    <col min="8705" max="8705" width="8" style="389"/>
    <col min="8706" max="8706" width="9.6640625" style="389" bestFit="1" customWidth="1"/>
    <col min="8707" max="8707" width="8" style="389"/>
    <col min="8708" max="8708" width="77.33203125" style="389" bestFit="1" customWidth="1"/>
    <col min="8709" max="8709" width="11" style="389" customWidth="1"/>
    <col min="8710" max="8710" width="10.6640625" style="389" customWidth="1"/>
    <col min="8711" max="8711" width="14.1640625" style="389" customWidth="1"/>
    <col min="8712" max="8712" width="13.5" style="389" customWidth="1"/>
    <col min="8713" max="8713" width="92.83203125" style="389" bestFit="1" customWidth="1"/>
    <col min="8714" max="8959" width="10.6640625" style="389" customWidth="1"/>
    <col min="8960" max="8960" width="9.6640625" style="389" bestFit="1" customWidth="1"/>
    <col min="8961" max="8961" width="8" style="389"/>
    <col min="8962" max="8962" width="9.6640625" style="389" bestFit="1" customWidth="1"/>
    <col min="8963" max="8963" width="8" style="389"/>
    <col min="8964" max="8964" width="77.33203125" style="389" bestFit="1" customWidth="1"/>
    <col min="8965" max="8965" width="11" style="389" customWidth="1"/>
    <col min="8966" max="8966" width="10.6640625" style="389" customWidth="1"/>
    <col min="8967" max="8967" width="14.1640625" style="389" customWidth="1"/>
    <col min="8968" max="8968" width="13.5" style="389" customWidth="1"/>
    <col min="8969" max="8969" width="92.83203125" style="389" bestFit="1" customWidth="1"/>
    <col min="8970" max="9215" width="10.6640625" style="389" customWidth="1"/>
    <col min="9216" max="9216" width="9.6640625" style="389" bestFit="1" customWidth="1"/>
    <col min="9217" max="9217" width="8" style="389"/>
    <col min="9218" max="9218" width="9.6640625" style="389" bestFit="1" customWidth="1"/>
    <col min="9219" max="9219" width="8" style="389"/>
    <col min="9220" max="9220" width="77.33203125" style="389" bestFit="1" customWidth="1"/>
    <col min="9221" max="9221" width="11" style="389" customWidth="1"/>
    <col min="9222" max="9222" width="10.6640625" style="389" customWidth="1"/>
    <col min="9223" max="9223" width="14.1640625" style="389" customWidth="1"/>
    <col min="9224" max="9224" width="13.5" style="389" customWidth="1"/>
    <col min="9225" max="9225" width="92.83203125" style="389" bestFit="1" customWidth="1"/>
    <col min="9226" max="9471" width="10.6640625" style="389" customWidth="1"/>
    <col min="9472" max="9472" width="9.6640625" style="389" bestFit="1" customWidth="1"/>
    <col min="9473" max="9473" width="8" style="389"/>
    <col min="9474" max="9474" width="9.6640625" style="389" bestFit="1" customWidth="1"/>
    <col min="9475" max="9475" width="8" style="389"/>
    <col min="9476" max="9476" width="77.33203125" style="389" bestFit="1" customWidth="1"/>
    <col min="9477" max="9477" width="11" style="389" customWidth="1"/>
    <col min="9478" max="9478" width="10.6640625" style="389" customWidth="1"/>
    <col min="9479" max="9479" width="14.1640625" style="389" customWidth="1"/>
    <col min="9480" max="9480" width="13.5" style="389" customWidth="1"/>
    <col min="9481" max="9481" width="92.83203125" style="389" bestFit="1" customWidth="1"/>
    <col min="9482" max="9727" width="10.6640625" style="389" customWidth="1"/>
    <col min="9728" max="9728" width="9.6640625" style="389" bestFit="1" customWidth="1"/>
    <col min="9729" max="9729" width="8" style="389"/>
    <col min="9730" max="9730" width="9.6640625" style="389" bestFit="1" customWidth="1"/>
    <col min="9731" max="9731" width="8" style="389"/>
    <col min="9732" max="9732" width="77.33203125" style="389" bestFit="1" customWidth="1"/>
    <col min="9733" max="9733" width="11" style="389" customWidth="1"/>
    <col min="9734" max="9734" width="10.6640625" style="389" customWidth="1"/>
    <col min="9735" max="9735" width="14.1640625" style="389" customWidth="1"/>
    <col min="9736" max="9736" width="13.5" style="389" customWidth="1"/>
    <col min="9737" max="9737" width="92.83203125" style="389" bestFit="1" customWidth="1"/>
    <col min="9738" max="9983" width="10.6640625" style="389" customWidth="1"/>
    <col min="9984" max="9984" width="9.6640625" style="389" bestFit="1" customWidth="1"/>
    <col min="9985" max="9985" width="8" style="389"/>
    <col min="9986" max="9986" width="9.6640625" style="389" bestFit="1" customWidth="1"/>
    <col min="9987" max="9987" width="8" style="389"/>
    <col min="9988" max="9988" width="77.33203125" style="389" bestFit="1" customWidth="1"/>
    <col min="9989" max="9989" width="11" style="389" customWidth="1"/>
    <col min="9990" max="9990" width="10.6640625" style="389" customWidth="1"/>
    <col min="9991" max="9991" width="14.1640625" style="389" customWidth="1"/>
    <col min="9992" max="9992" width="13.5" style="389" customWidth="1"/>
    <col min="9993" max="9993" width="92.83203125" style="389" bestFit="1" customWidth="1"/>
    <col min="9994" max="10239" width="10.6640625" style="389" customWidth="1"/>
    <col min="10240" max="10240" width="9.6640625" style="389" bestFit="1" customWidth="1"/>
    <col min="10241" max="10241" width="8" style="389"/>
    <col min="10242" max="10242" width="9.6640625" style="389" bestFit="1" customWidth="1"/>
    <col min="10243" max="10243" width="8" style="389"/>
    <col min="10244" max="10244" width="77.33203125" style="389" bestFit="1" customWidth="1"/>
    <col min="10245" max="10245" width="11" style="389" customWidth="1"/>
    <col min="10246" max="10246" width="10.6640625" style="389" customWidth="1"/>
    <col min="10247" max="10247" width="14.1640625" style="389" customWidth="1"/>
    <col min="10248" max="10248" width="13.5" style="389" customWidth="1"/>
    <col min="10249" max="10249" width="92.83203125" style="389" bestFit="1" customWidth="1"/>
    <col min="10250" max="10495" width="10.6640625" style="389" customWidth="1"/>
    <col min="10496" max="10496" width="9.6640625" style="389" bestFit="1" customWidth="1"/>
    <col min="10497" max="10497" width="8" style="389"/>
    <col min="10498" max="10498" width="9.6640625" style="389" bestFit="1" customWidth="1"/>
    <col min="10499" max="10499" width="8" style="389"/>
    <col min="10500" max="10500" width="77.33203125" style="389" bestFit="1" customWidth="1"/>
    <col min="10501" max="10501" width="11" style="389" customWidth="1"/>
    <col min="10502" max="10502" width="10.6640625" style="389" customWidth="1"/>
    <col min="10503" max="10503" width="14.1640625" style="389" customWidth="1"/>
    <col min="10504" max="10504" width="13.5" style="389" customWidth="1"/>
    <col min="10505" max="10505" width="92.83203125" style="389" bestFit="1" customWidth="1"/>
    <col min="10506" max="10751" width="10.6640625" style="389" customWidth="1"/>
    <col min="10752" max="10752" width="9.6640625" style="389" bestFit="1" customWidth="1"/>
    <col min="10753" max="10753" width="8" style="389"/>
    <col min="10754" max="10754" width="9.6640625" style="389" bestFit="1" customWidth="1"/>
    <col min="10755" max="10755" width="8" style="389"/>
    <col min="10756" max="10756" width="77.33203125" style="389" bestFit="1" customWidth="1"/>
    <col min="10757" max="10757" width="11" style="389" customWidth="1"/>
    <col min="10758" max="10758" width="10.6640625" style="389" customWidth="1"/>
    <col min="10759" max="10759" width="14.1640625" style="389" customWidth="1"/>
    <col min="10760" max="10760" width="13.5" style="389" customWidth="1"/>
    <col min="10761" max="10761" width="92.83203125" style="389" bestFit="1" customWidth="1"/>
    <col min="10762" max="11007" width="10.6640625" style="389" customWidth="1"/>
    <col min="11008" max="11008" width="9.6640625" style="389" bestFit="1" customWidth="1"/>
    <col min="11009" max="11009" width="8" style="389"/>
    <col min="11010" max="11010" width="9.6640625" style="389" bestFit="1" customWidth="1"/>
    <col min="11011" max="11011" width="8" style="389"/>
    <col min="11012" max="11012" width="77.33203125" style="389" bestFit="1" customWidth="1"/>
    <col min="11013" max="11013" width="11" style="389" customWidth="1"/>
    <col min="11014" max="11014" width="10.6640625" style="389" customWidth="1"/>
    <col min="11015" max="11015" width="14.1640625" style="389" customWidth="1"/>
    <col min="11016" max="11016" width="13.5" style="389" customWidth="1"/>
    <col min="11017" max="11017" width="92.83203125" style="389" bestFit="1" customWidth="1"/>
    <col min="11018" max="11263" width="10.6640625" style="389" customWidth="1"/>
    <col min="11264" max="11264" width="9.6640625" style="389" bestFit="1" customWidth="1"/>
    <col min="11265" max="11265" width="8" style="389"/>
    <col min="11266" max="11266" width="9.6640625" style="389" bestFit="1" customWidth="1"/>
    <col min="11267" max="11267" width="8" style="389"/>
    <col min="11268" max="11268" width="77.33203125" style="389" bestFit="1" customWidth="1"/>
    <col min="11269" max="11269" width="11" style="389" customWidth="1"/>
    <col min="11270" max="11270" width="10.6640625" style="389" customWidth="1"/>
    <col min="11271" max="11271" width="14.1640625" style="389" customWidth="1"/>
    <col min="11272" max="11272" width="13.5" style="389" customWidth="1"/>
    <col min="11273" max="11273" width="92.83203125" style="389" bestFit="1" customWidth="1"/>
    <col min="11274" max="11519" width="10.6640625" style="389" customWidth="1"/>
    <col min="11520" max="11520" width="9.6640625" style="389" bestFit="1" customWidth="1"/>
    <col min="11521" max="11521" width="8" style="389"/>
    <col min="11522" max="11522" width="9.6640625" style="389" bestFit="1" customWidth="1"/>
    <col min="11523" max="11523" width="8" style="389"/>
    <col min="11524" max="11524" width="77.33203125" style="389" bestFit="1" customWidth="1"/>
    <col min="11525" max="11525" width="11" style="389" customWidth="1"/>
    <col min="11526" max="11526" width="10.6640625" style="389" customWidth="1"/>
    <col min="11527" max="11527" width="14.1640625" style="389" customWidth="1"/>
    <col min="11528" max="11528" width="13.5" style="389" customWidth="1"/>
    <col min="11529" max="11529" width="92.83203125" style="389" bestFit="1" customWidth="1"/>
    <col min="11530" max="11775" width="10.6640625" style="389" customWidth="1"/>
    <col min="11776" max="11776" width="9.6640625" style="389" bestFit="1" customWidth="1"/>
    <col min="11777" max="11777" width="8" style="389"/>
    <col min="11778" max="11778" width="9.6640625" style="389" bestFit="1" customWidth="1"/>
    <col min="11779" max="11779" width="8" style="389"/>
    <col min="11780" max="11780" width="77.33203125" style="389" bestFit="1" customWidth="1"/>
    <col min="11781" max="11781" width="11" style="389" customWidth="1"/>
    <col min="11782" max="11782" width="10.6640625" style="389" customWidth="1"/>
    <col min="11783" max="11783" width="14.1640625" style="389" customWidth="1"/>
    <col min="11784" max="11784" width="13.5" style="389" customWidth="1"/>
    <col min="11785" max="11785" width="92.83203125" style="389" bestFit="1" customWidth="1"/>
    <col min="11786" max="12031" width="10.6640625" style="389" customWidth="1"/>
    <col min="12032" max="12032" width="9.6640625" style="389" bestFit="1" customWidth="1"/>
    <col min="12033" max="12033" width="8" style="389"/>
    <col min="12034" max="12034" width="9.6640625" style="389" bestFit="1" customWidth="1"/>
    <col min="12035" max="12035" width="8" style="389"/>
    <col min="12036" max="12036" width="77.33203125" style="389" bestFit="1" customWidth="1"/>
    <col min="12037" max="12037" width="11" style="389" customWidth="1"/>
    <col min="12038" max="12038" width="10.6640625" style="389" customWidth="1"/>
    <col min="12039" max="12039" width="14.1640625" style="389" customWidth="1"/>
    <col min="12040" max="12040" width="13.5" style="389" customWidth="1"/>
    <col min="12041" max="12041" width="92.83203125" style="389" bestFit="1" customWidth="1"/>
    <col min="12042" max="12287" width="10.6640625" style="389" customWidth="1"/>
    <col min="12288" max="12288" width="9.6640625" style="389" bestFit="1" customWidth="1"/>
    <col min="12289" max="12289" width="8" style="389"/>
    <col min="12290" max="12290" width="9.6640625" style="389" bestFit="1" customWidth="1"/>
    <col min="12291" max="12291" width="8" style="389"/>
    <col min="12292" max="12292" width="77.33203125" style="389" bestFit="1" customWidth="1"/>
    <col min="12293" max="12293" width="11" style="389" customWidth="1"/>
    <col min="12294" max="12294" width="10.6640625" style="389" customWidth="1"/>
    <col min="12295" max="12295" width="14.1640625" style="389" customWidth="1"/>
    <col min="12296" max="12296" width="13.5" style="389" customWidth="1"/>
    <col min="12297" max="12297" width="92.83203125" style="389" bestFit="1" customWidth="1"/>
    <col min="12298" max="12543" width="10.6640625" style="389" customWidth="1"/>
    <col min="12544" max="12544" width="9.6640625" style="389" bestFit="1" customWidth="1"/>
    <col min="12545" max="12545" width="8" style="389"/>
    <col min="12546" max="12546" width="9.6640625" style="389" bestFit="1" customWidth="1"/>
    <col min="12547" max="12547" width="8" style="389"/>
    <col min="12548" max="12548" width="77.33203125" style="389" bestFit="1" customWidth="1"/>
    <col min="12549" max="12549" width="11" style="389" customWidth="1"/>
    <col min="12550" max="12550" width="10.6640625" style="389" customWidth="1"/>
    <col min="12551" max="12551" width="14.1640625" style="389" customWidth="1"/>
    <col min="12552" max="12552" width="13.5" style="389" customWidth="1"/>
    <col min="12553" max="12553" width="92.83203125" style="389" bestFit="1" customWidth="1"/>
    <col min="12554" max="12799" width="10.6640625" style="389" customWidth="1"/>
    <col min="12800" max="12800" width="9.6640625" style="389" bestFit="1" customWidth="1"/>
    <col min="12801" max="12801" width="8" style="389"/>
    <col min="12802" max="12802" width="9.6640625" style="389" bestFit="1" customWidth="1"/>
    <col min="12803" max="12803" width="8" style="389"/>
    <col min="12804" max="12804" width="77.33203125" style="389" bestFit="1" customWidth="1"/>
    <col min="12805" max="12805" width="11" style="389" customWidth="1"/>
    <col min="12806" max="12806" width="10.6640625" style="389" customWidth="1"/>
    <col min="12807" max="12807" width="14.1640625" style="389" customWidth="1"/>
    <col min="12808" max="12808" width="13.5" style="389" customWidth="1"/>
    <col min="12809" max="12809" width="92.83203125" style="389" bestFit="1" customWidth="1"/>
    <col min="12810" max="13055" width="10.6640625" style="389" customWidth="1"/>
    <col min="13056" max="13056" width="9.6640625" style="389" bestFit="1" customWidth="1"/>
    <col min="13057" max="13057" width="8" style="389"/>
    <col min="13058" max="13058" width="9.6640625" style="389" bestFit="1" customWidth="1"/>
    <col min="13059" max="13059" width="8" style="389"/>
    <col min="13060" max="13060" width="77.33203125" style="389" bestFit="1" customWidth="1"/>
    <col min="13061" max="13061" width="11" style="389" customWidth="1"/>
    <col min="13062" max="13062" width="10.6640625" style="389" customWidth="1"/>
    <col min="13063" max="13063" width="14.1640625" style="389" customWidth="1"/>
    <col min="13064" max="13064" width="13.5" style="389" customWidth="1"/>
    <col min="13065" max="13065" width="92.83203125" style="389" bestFit="1" customWidth="1"/>
    <col min="13066" max="13311" width="10.6640625" style="389" customWidth="1"/>
    <col min="13312" max="13312" width="9.6640625" style="389" bestFit="1" customWidth="1"/>
    <col min="13313" max="13313" width="8" style="389"/>
    <col min="13314" max="13314" width="9.6640625" style="389" bestFit="1" customWidth="1"/>
    <col min="13315" max="13315" width="8" style="389"/>
    <col min="13316" max="13316" width="77.33203125" style="389" bestFit="1" customWidth="1"/>
    <col min="13317" max="13317" width="11" style="389" customWidth="1"/>
    <col min="13318" max="13318" width="10.6640625" style="389" customWidth="1"/>
    <col min="13319" max="13319" width="14.1640625" style="389" customWidth="1"/>
    <col min="13320" max="13320" width="13.5" style="389" customWidth="1"/>
    <col min="13321" max="13321" width="92.83203125" style="389" bestFit="1" customWidth="1"/>
    <col min="13322" max="13567" width="10.6640625" style="389" customWidth="1"/>
    <col min="13568" max="13568" width="9.6640625" style="389" bestFit="1" customWidth="1"/>
    <col min="13569" max="13569" width="8" style="389"/>
    <col min="13570" max="13570" width="9.6640625" style="389" bestFit="1" customWidth="1"/>
    <col min="13571" max="13571" width="8" style="389"/>
    <col min="13572" max="13572" width="77.33203125" style="389" bestFit="1" customWidth="1"/>
    <col min="13573" max="13573" width="11" style="389" customWidth="1"/>
    <col min="13574" max="13574" width="10.6640625" style="389" customWidth="1"/>
    <col min="13575" max="13575" width="14.1640625" style="389" customWidth="1"/>
    <col min="13576" max="13576" width="13.5" style="389" customWidth="1"/>
    <col min="13577" max="13577" width="92.83203125" style="389" bestFit="1" customWidth="1"/>
    <col min="13578" max="13823" width="10.6640625" style="389" customWidth="1"/>
    <col min="13824" max="13824" width="9.6640625" style="389" bestFit="1" customWidth="1"/>
    <col min="13825" max="13825" width="8" style="389"/>
    <col min="13826" max="13826" width="9.6640625" style="389" bestFit="1" customWidth="1"/>
    <col min="13827" max="13827" width="8" style="389"/>
    <col min="13828" max="13828" width="77.33203125" style="389" bestFit="1" customWidth="1"/>
    <col min="13829" max="13829" width="11" style="389" customWidth="1"/>
    <col min="13830" max="13830" width="10.6640625" style="389" customWidth="1"/>
    <col min="13831" max="13831" width="14.1640625" style="389" customWidth="1"/>
    <col min="13832" max="13832" width="13.5" style="389" customWidth="1"/>
    <col min="13833" max="13833" width="92.83203125" style="389" bestFit="1" customWidth="1"/>
    <col min="13834" max="14079" width="10.6640625" style="389" customWidth="1"/>
    <col min="14080" max="14080" width="9.6640625" style="389" bestFit="1" customWidth="1"/>
    <col min="14081" max="14081" width="8" style="389"/>
    <col min="14082" max="14082" width="9.6640625" style="389" bestFit="1" customWidth="1"/>
    <col min="14083" max="14083" width="8" style="389"/>
    <col min="14084" max="14084" width="77.33203125" style="389" bestFit="1" customWidth="1"/>
    <col min="14085" max="14085" width="11" style="389" customWidth="1"/>
    <col min="14086" max="14086" width="10.6640625" style="389" customWidth="1"/>
    <col min="14087" max="14087" width="14.1640625" style="389" customWidth="1"/>
    <col min="14088" max="14088" width="13.5" style="389" customWidth="1"/>
    <col min="14089" max="14089" width="92.83203125" style="389" bestFit="1" customWidth="1"/>
    <col min="14090" max="14335" width="10.6640625" style="389" customWidth="1"/>
    <col min="14336" max="14336" width="9.6640625" style="389" bestFit="1" customWidth="1"/>
    <col min="14337" max="14337" width="8" style="389"/>
    <col min="14338" max="14338" width="9.6640625" style="389" bestFit="1" customWidth="1"/>
    <col min="14339" max="14339" width="8" style="389"/>
    <col min="14340" max="14340" width="77.33203125" style="389" bestFit="1" customWidth="1"/>
    <col min="14341" max="14341" width="11" style="389" customWidth="1"/>
    <col min="14342" max="14342" width="10.6640625" style="389" customWidth="1"/>
    <col min="14343" max="14343" width="14.1640625" style="389" customWidth="1"/>
    <col min="14344" max="14344" width="13.5" style="389" customWidth="1"/>
    <col min="14345" max="14345" width="92.83203125" style="389" bestFit="1" customWidth="1"/>
    <col min="14346" max="14591" width="10.6640625" style="389" customWidth="1"/>
    <col min="14592" max="14592" width="9.6640625" style="389" bestFit="1" customWidth="1"/>
    <col min="14593" max="14593" width="8" style="389"/>
    <col min="14594" max="14594" width="9.6640625" style="389" bestFit="1" customWidth="1"/>
    <col min="14595" max="14595" width="8" style="389"/>
    <col min="14596" max="14596" width="77.33203125" style="389" bestFit="1" customWidth="1"/>
    <col min="14597" max="14597" width="11" style="389" customWidth="1"/>
    <col min="14598" max="14598" width="10.6640625" style="389" customWidth="1"/>
    <col min="14599" max="14599" width="14.1640625" style="389" customWidth="1"/>
    <col min="14600" max="14600" width="13.5" style="389" customWidth="1"/>
    <col min="14601" max="14601" width="92.83203125" style="389" bestFit="1" customWidth="1"/>
    <col min="14602" max="14847" width="10.6640625" style="389" customWidth="1"/>
    <col min="14848" max="14848" width="9.6640625" style="389" bestFit="1" customWidth="1"/>
    <col min="14849" max="14849" width="8" style="389"/>
    <col min="14850" max="14850" width="9.6640625" style="389" bestFit="1" customWidth="1"/>
    <col min="14851" max="14851" width="8" style="389"/>
    <col min="14852" max="14852" width="77.33203125" style="389" bestFit="1" customWidth="1"/>
    <col min="14853" max="14853" width="11" style="389" customWidth="1"/>
    <col min="14854" max="14854" width="10.6640625" style="389" customWidth="1"/>
    <col min="14855" max="14855" width="14.1640625" style="389" customWidth="1"/>
    <col min="14856" max="14856" width="13.5" style="389" customWidth="1"/>
    <col min="14857" max="14857" width="92.83203125" style="389" bestFit="1" customWidth="1"/>
    <col min="14858" max="15103" width="10.6640625" style="389" customWidth="1"/>
    <col min="15104" max="15104" width="9.6640625" style="389" bestFit="1" customWidth="1"/>
    <col min="15105" max="15105" width="8" style="389"/>
    <col min="15106" max="15106" width="9.6640625" style="389" bestFit="1" customWidth="1"/>
    <col min="15107" max="15107" width="8" style="389"/>
    <col min="15108" max="15108" width="77.33203125" style="389" bestFit="1" customWidth="1"/>
    <col min="15109" max="15109" width="11" style="389" customWidth="1"/>
    <col min="15110" max="15110" width="10.6640625" style="389" customWidth="1"/>
    <col min="15111" max="15111" width="14.1640625" style="389" customWidth="1"/>
    <col min="15112" max="15112" width="13.5" style="389" customWidth="1"/>
    <col min="15113" max="15113" width="92.83203125" style="389" bestFit="1" customWidth="1"/>
    <col min="15114" max="15359" width="10.6640625" style="389" customWidth="1"/>
    <col min="15360" max="15360" width="9.6640625" style="389" bestFit="1" customWidth="1"/>
    <col min="15361" max="15361" width="8" style="389"/>
    <col min="15362" max="15362" width="9.6640625" style="389" bestFit="1" customWidth="1"/>
    <col min="15363" max="15363" width="8" style="389"/>
    <col min="15364" max="15364" width="77.33203125" style="389" bestFit="1" customWidth="1"/>
    <col min="15365" max="15365" width="11" style="389" customWidth="1"/>
    <col min="15366" max="15366" width="10.6640625" style="389" customWidth="1"/>
    <col min="15367" max="15367" width="14.1640625" style="389" customWidth="1"/>
    <col min="15368" max="15368" width="13.5" style="389" customWidth="1"/>
    <col min="15369" max="15369" width="92.83203125" style="389" bestFit="1" customWidth="1"/>
    <col min="15370" max="15615" width="10.6640625" style="389" customWidth="1"/>
    <col min="15616" max="15616" width="9.6640625" style="389" bestFit="1" customWidth="1"/>
    <col min="15617" max="15617" width="8" style="389"/>
    <col min="15618" max="15618" width="9.6640625" style="389" bestFit="1" customWidth="1"/>
    <col min="15619" max="15619" width="8" style="389"/>
    <col min="15620" max="15620" width="77.33203125" style="389" bestFit="1" customWidth="1"/>
    <col min="15621" max="15621" width="11" style="389" customWidth="1"/>
    <col min="15622" max="15622" width="10.6640625" style="389" customWidth="1"/>
    <col min="15623" max="15623" width="14.1640625" style="389" customWidth="1"/>
    <col min="15624" max="15624" width="13.5" style="389" customWidth="1"/>
    <col min="15625" max="15625" width="92.83203125" style="389" bestFit="1" customWidth="1"/>
    <col min="15626" max="15871" width="10.6640625" style="389" customWidth="1"/>
    <col min="15872" max="15872" width="9.6640625" style="389" bestFit="1" customWidth="1"/>
    <col min="15873" max="15873" width="8" style="389"/>
    <col min="15874" max="15874" width="9.6640625" style="389" bestFit="1" customWidth="1"/>
    <col min="15875" max="15875" width="8" style="389"/>
    <col min="15876" max="15876" width="77.33203125" style="389" bestFit="1" customWidth="1"/>
    <col min="15877" max="15877" width="11" style="389" customWidth="1"/>
    <col min="15878" max="15878" width="10.6640625" style="389" customWidth="1"/>
    <col min="15879" max="15879" width="14.1640625" style="389" customWidth="1"/>
    <col min="15880" max="15880" width="13.5" style="389" customWidth="1"/>
    <col min="15881" max="15881" width="92.83203125" style="389" bestFit="1" customWidth="1"/>
    <col min="15882" max="16127" width="10.6640625" style="389" customWidth="1"/>
    <col min="16128" max="16128" width="9.6640625" style="389" bestFit="1" customWidth="1"/>
    <col min="16129" max="16129" width="8" style="389"/>
    <col min="16130" max="16130" width="9.6640625" style="389" bestFit="1" customWidth="1"/>
    <col min="16131" max="16131" width="8" style="389"/>
    <col min="16132" max="16132" width="77.33203125" style="389" bestFit="1" customWidth="1"/>
    <col min="16133" max="16133" width="11" style="389" customWidth="1"/>
    <col min="16134" max="16134" width="10.6640625" style="389" customWidth="1"/>
    <col min="16135" max="16135" width="14.1640625" style="389" customWidth="1"/>
    <col min="16136" max="16136" width="13.5" style="389" customWidth="1"/>
    <col min="16137" max="16137" width="92.83203125" style="389" bestFit="1" customWidth="1"/>
    <col min="16138" max="16384" width="10.6640625" style="389" customWidth="1"/>
  </cols>
  <sheetData>
    <row r="1" spans="1:11" s="319" customFormat="1" ht="16.5" thickTop="1">
      <c r="A1" s="313" t="s">
        <v>299</v>
      </c>
      <c r="B1" s="314"/>
      <c r="C1" s="315" t="s">
        <v>300</v>
      </c>
      <c r="D1" s="316"/>
      <c r="E1" s="316"/>
      <c r="F1" s="317"/>
      <c r="G1" s="317"/>
      <c r="H1" s="317"/>
      <c r="I1" s="318"/>
      <c r="K1" s="320"/>
    </row>
    <row r="2" spans="1:11" s="319" customFormat="1" ht="15.75">
      <c r="A2" s="321" t="s">
        <v>301</v>
      </c>
      <c r="B2" s="322"/>
      <c r="C2" s="323" t="s">
        <v>491</v>
      </c>
      <c r="D2" s="323"/>
      <c r="E2" s="324" t="s">
        <v>303</v>
      </c>
      <c r="F2" s="325"/>
      <c r="G2" s="325"/>
      <c r="H2" s="325"/>
      <c r="I2" s="326"/>
      <c r="K2" s="320"/>
    </row>
    <row r="3" spans="1:11" s="319" customFormat="1" ht="15.75">
      <c r="A3" s="321" t="s">
        <v>305</v>
      </c>
      <c r="B3" s="322"/>
      <c r="C3" s="323" t="s">
        <v>306</v>
      </c>
      <c r="D3" s="323"/>
      <c r="E3" s="324" t="s">
        <v>307</v>
      </c>
      <c r="F3" s="325"/>
      <c r="G3" s="325"/>
      <c r="H3" s="325"/>
      <c r="I3" s="326"/>
      <c r="K3" s="320"/>
    </row>
    <row r="4" spans="1:11" s="319" customFormat="1" ht="16.5" thickBot="1">
      <c r="A4" s="321" t="s">
        <v>308</v>
      </c>
      <c r="B4" s="322"/>
      <c r="C4" s="323" t="s">
        <v>309</v>
      </c>
      <c r="D4" s="323"/>
      <c r="E4" s="323"/>
      <c r="F4" s="325"/>
      <c r="G4" s="325"/>
      <c r="H4" s="325"/>
      <c r="I4" s="326"/>
      <c r="K4" s="320"/>
    </row>
    <row r="5" spans="1:11" s="319" customFormat="1" ht="70.5" customHeight="1" thickTop="1" thickBot="1">
      <c r="A5" s="327" t="s">
        <v>310</v>
      </c>
      <c r="B5" s="328" t="s">
        <v>311</v>
      </c>
      <c r="C5" s="329" t="s">
        <v>46</v>
      </c>
      <c r="D5" s="330" t="s">
        <v>312</v>
      </c>
      <c r="E5" s="328" t="s">
        <v>313</v>
      </c>
      <c r="F5" s="331" t="s">
        <v>314</v>
      </c>
      <c r="G5" s="331" t="s">
        <v>315</v>
      </c>
      <c r="H5" s="332" t="s">
        <v>316</v>
      </c>
      <c r="I5" s="333" t="s">
        <v>317</v>
      </c>
      <c r="K5" s="320"/>
    </row>
    <row r="6" spans="1:11" s="319" customFormat="1" ht="16.5" thickTop="1">
      <c r="A6" s="334" t="s">
        <v>318</v>
      </c>
      <c r="B6" s="335"/>
      <c r="C6" s="336" t="s">
        <v>319</v>
      </c>
      <c r="D6" s="337"/>
      <c r="E6" s="338"/>
      <c r="F6" s="339"/>
      <c r="G6" s="340"/>
      <c r="H6" s="341"/>
      <c r="I6" s="342"/>
      <c r="K6" s="320"/>
    </row>
    <row r="7" spans="1:11" s="319" customFormat="1" ht="47.25">
      <c r="A7" s="343" t="s">
        <v>320</v>
      </c>
      <c r="B7" s="335" t="s">
        <v>492</v>
      </c>
      <c r="C7" s="345" t="s">
        <v>493</v>
      </c>
      <c r="D7" s="335">
        <v>1</v>
      </c>
      <c r="E7" s="335" t="s">
        <v>126</v>
      </c>
      <c r="F7" s="339"/>
      <c r="G7" s="340"/>
      <c r="H7" s="341">
        <f>D7*(F7+G7)</f>
        <v>0</v>
      </c>
      <c r="I7" s="346" t="s">
        <v>494</v>
      </c>
      <c r="K7" s="320"/>
    </row>
    <row r="8" spans="1:11" s="319" customFormat="1" ht="47.25">
      <c r="A8" s="343" t="s">
        <v>324</v>
      </c>
      <c r="B8" s="344" t="s">
        <v>495</v>
      </c>
      <c r="C8" s="345" t="s">
        <v>496</v>
      </c>
      <c r="D8" s="335">
        <v>1</v>
      </c>
      <c r="E8" s="335" t="s">
        <v>126</v>
      </c>
      <c r="F8" s="339"/>
      <c r="G8" s="340"/>
      <c r="H8" s="341">
        <f>D8*(F8+G8)</f>
        <v>0</v>
      </c>
      <c r="I8" s="346" t="s">
        <v>497</v>
      </c>
      <c r="K8" s="320"/>
    </row>
    <row r="9" spans="1:11" s="319" customFormat="1" ht="68.25" customHeight="1">
      <c r="A9" s="343" t="s">
        <v>328</v>
      </c>
      <c r="B9" s="344" t="s">
        <v>498</v>
      </c>
      <c r="C9" s="356" t="s">
        <v>499</v>
      </c>
      <c r="D9" s="335">
        <v>1</v>
      </c>
      <c r="E9" s="335" t="s">
        <v>126</v>
      </c>
      <c r="F9" s="339"/>
      <c r="G9" s="340"/>
      <c r="H9" s="341">
        <f>D9*(F9+G9)</f>
        <v>0</v>
      </c>
      <c r="I9" s="346" t="s">
        <v>500</v>
      </c>
      <c r="K9" s="320"/>
    </row>
    <row r="10" spans="1:11" s="319" customFormat="1" ht="70.5" customHeight="1">
      <c r="A10" s="343" t="s">
        <v>340</v>
      </c>
      <c r="B10" s="344" t="s">
        <v>501</v>
      </c>
      <c r="C10" s="356" t="s">
        <v>502</v>
      </c>
      <c r="D10" s="335">
        <v>1</v>
      </c>
      <c r="E10" s="335" t="s">
        <v>126</v>
      </c>
      <c r="F10" s="339"/>
      <c r="G10" s="340"/>
      <c r="H10" s="341">
        <f>D10*(F10+G10)</f>
        <v>0</v>
      </c>
      <c r="I10" s="346" t="s">
        <v>503</v>
      </c>
      <c r="K10" s="320"/>
    </row>
    <row r="11" spans="1:11" s="319" customFormat="1" ht="50.25" customHeight="1">
      <c r="A11" s="343" t="s">
        <v>351</v>
      </c>
      <c r="B11" s="344" t="s">
        <v>504</v>
      </c>
      <c r="C11" s="356" t="s">
        <v>505</v>
      </c>
      <c r="D11" s="335">
        <v>1</v>
      </c>
      <c r="E11" s="335" t="s">
        <v>126</v>
      </c>
      <c r="F11" s="339"/>
      <c r="G11" s="340"/>
      <c r="H11" s="341">
        <f>D11*(F11+G11)</f>
        <v>0</v>
      </c>
      <c r="I11" s="346" t="s">
        <v>506</v>
      </c>
      <c r="K11" s="320"/>
    </row>
    <row r="12" spans="1:11" s="319" customFormat="1" ht="15.75">
      <c r="A12" s="343"/>
      <c r="B12" s="344"/>
      <c r="C12" s="345"/>
      <c r="D12" s="335"/>
      <c r="E12" s="335"/>
      <c r="F12" s="339"/>
      <c r="G12" s="340"/>
      <c r="H12" s="341"/>
      <c r="I12" s="346"/>
      <c r="K12" s="320"/>
    </row>
    <row r="13" spans="1:11" s="319" customFormat="1" ht="15.75">
      <c r="A13" s="334" t="s">
        <v>318</v>
      </c>
      <c r="B13" s="335"/>
      <c r="C13" s="336" t="s">
        <v>507</v>
      </c>
      <c r="D13" s="335"/>
      <c r="E13" s="335"/>
      <c r="F13" s="339"/>
      <c r="G13" s="340"/>
      <c r="H13" s="341"/>
      <c r="I13" s="346"/>
      <c r="K13" s="320"/>
    </row>
    <row r="14" spans="1:11" s="319" customFormat="1" ht="78.75">
      <c r="A14" s="343" t="s">
        <v>320</v>
      </c>
      <c r="B14" s="344" t="s">
        <v>508</v>
      </c>
      <c r="C14" s="347" t="s">
        <v>509</v>
      </c>
      <c r="D14" s="335">
        <v>1</v>
      </c>
      <c r="E14" s="335" t="s">
        <v>126</v>
      </c>
      <c r="F14" s="339"/>
      <c r="G14" s="340"/>
      <c r="H14" s="341">
        <f t="shared" ref="H14:H77" si="0">D14*(F14+G14)</f>
        <v>0</v>
      </c>
      <c r="I14" s="346" t="s">
        <v>510</v>
      </c>
      <c r="K14" s="387"/>
    </row>
    <row r="15" spans="1:11" s="319" customFormat="1" ht="85.5" customHeight="1">
      <c r="A15" s="343" t="s">
        <v>324</v>
      </c>
      <c r="B15" s="344" t="s">
        <v>511</v>
      </c>
      <c r="C15" s="347" t="s">
        <v>512</v>
      </c>
      <c r="D15" s="335">
        <v>2</v>
      </c>
      <c r="E15" s="335" t="s">
        <v>126</v>
      </c>
      <c r="F15" s="339"/>
      <c r="G15" s="340"/>
      <c r="H15" s="341">
        <f t="shared" si="0"/>
        <v>0</v>
      </c>
      <c r="I15" s="346" t="s">
        <v>335</v>
      </c>
      <c r="K15" s="320"/>
    </row>
    <row r="16" spans="1:11" s="319" customFormat="1" ht="15.75">
      <c r="A16" s="343" t="s">
        <v>328</v>
      </c>
      <c r="B16" s="344" t="s">
        <v>336</v>
      </c>
      <c r="C16" s="348" t="s">
        <v>337</v>
      </c>
      <c r="D16" s="335">
        <v>1</v>
      </c>
      <c r="E16" s="335" t="s">
        <v>126</v>
      </c>
      <c r="F16" s="339"/>
      <c r="G16" s="340"/>
      <c r="H16" s="341">
        <f t="shared" si="0"/>
        <v>0</v>
      </c>
      <c r="I16" s="346" t="s">
        <v>339</v>
      </c>
      <c r="K16" s="320"/>
    </row>
    <row r="17" spans="1:11" s="319" customFormat="1" ht="31.5">
      <c r="A17" s="343" t="s">
        <v>340</v>
      </c>
      <c r="B17" s="344" t="s">
        <v>341</v>
      </c>
      <c r="C17" s="347" t="s">
        <v>342</v>
      </c>
      <c r="D17" s="335">
        <v>1</v>
      </c>
      <c r="E17" s="335" t="s">
        <v>126</v>
      </c>
      <c r="F17" s="339"/>
      <c r="G17" s="340"/>
      <c r="H17" s="341">
        <f t="shared" si="0"/>
        <v>0</v>
      </c>
      <c r="I17" s="346" t="s">
        <v>343</v>
      </c>
      <c r="K17" s="320"/>
    </row>
    <row r="18" spans="1:11" s="319" customFormat="1" ht="15.75">
      <c r="A18" s="343" t="s">
        <v>351</v>
      </c>
      <c r="B18" s="344" t="s">
        <v>513</v>
      </c>
      <c r="C18" s="347" t="s">
        <v>514</v>
      </c>
      <c r="D18" s="335">
        <v>1</v>
      </c>
      <c r="E18" s="335" t="s">
        <v>126</v>
      </c>
      <c r="F18" s="339"/>
      <c r="G18" s="340"/>
      <c r="H18" s="341">
        <f t="shared" si="0"/>
        <v>0</v>
      </c>
      <c r="I18" s="346" t="s">
        <v>515</v>
      </c>
      <c r="K18" s="320"/>
    </row>
    <row r="19" spans="1:11" s="319" customFormat="1" ht="31.5">
      <c r="A19" s="343" t="s">
        <v>369</v>
      </c>
      <c r="B19" s="344"/>
      <c r="C19" s="348" t="s">
        <v>516</v>
      </c>
      <c r="D19" s="335">
        <v>1</v>
      </c>
      <c r="E19" s="335" t="s">
        <v>126</v>
      </c>
      <c r="F19" s="339"/>
      <c r="G19" s="340"/>
      <c r="H19" s="341">
        <f t="shared" si="0"/>
        <v>0</v>
      </c>
      <c r="I19" s="346" t="s">
        <v>517</v>
      </c>
      <c r="K19" s="387"/>
    </row>
    <row r="20" spans="1:11" s="319" customFormat="1" ht="31.5">
      <c r="A20" s="343" t="s">
        <v>373</v>
      </c>
      <c r="B20" s="344"/>
      <c r="C20" s="348" t="s">
        <v>518</v>
      </c>
      <c r="D20" s="335">
        <v>1</v>
      </c>
      <c r="E20" s="335" t="s">
        <v>126</v>
      </c>
      <c r="F20" s="339"/>
      <c r="G20" s="340"/>
      <c r="H20" s="341">
        <f t="shared" si="0"/>
        <v>0</v>
      </c>
      <c r="I20" s="346" t="s">
        <v>519</v>
      </c>
      <c r="K20" s="387"/>
    </row>
    <row r="21" spans="1:11" s="319" customFormat="1" ht="15.75">
      <c r="A21" s="343"/>
      <c r="B21" s="344"/>
      <c r="C21" s="345"/>
      <c r="D21" s="335"/>
      <c r="E21" s="335"/>
      <c r="F21" s="339"/>
      <c r="G21" s="340"/>
      <c r="H21" s="341"/>
      <c r="I21" s="346"/>
      <c r="K21" s="320"/>
    </row>
    <row r="22" spans="1:11" s="319" customFormat="1" ht="15.75">
      <c r="A22" s="334" t="s">
        <v>318</v>
      </c>
      <c r="B22" s="335"/>
      <c r="C22" s="336" t="s">
        <v>520</v>
      </c>
      <c r="D22" s="335"/>
      <c r="E22" s="335"/>
      <c r="F22" s="339"/>
      <c r="G22" s="340"/>
      <c r="H22" s="341"/>
      <c r="I22" s="346"/>
      <c r="K22" s="320"/>
    </row>
    <row r="23" spans="1:11" s="319" customFormat="1" ht="85.5" customHeight="1">
      <c r="A23" s="343" t="s">
        <v>320</v>
      </c>
      <c r="B23" s="344" t="s">
        <v>511</v>
      </c>
      <c r="C23" s="347" t="s">
        <v>512</v>
      </c>
      <c r="D23" s="335">
        <v>1</v>
      </c>
      <c r="E23" s="335" t="s">
        <v>126</v>
      </c>
      <c r="F23" s="339"/>
      <c r="G23" s="340"/>
      <c r="H23" s="341">
        <f t="shared" ref="H23:H24" si="1">D23*(F23+G23)</f>
        <v>0</v>
      </c>
      <c r="I23" s="346" t="s">
        <v>335</v>
      </c>
      <c r="K23" s="320"/>
    </row>
    <row r="24" spans="1:11" s="319" customFormat="1" ht="31.5">
      <c r="A24" s="343" t="s">
        <v>324</v>
      </c>
      <c r="B24" s="344" t="s">
        <v>336</v>
      </c>
      <c r="C24" s="347" t="s">
        <v>337</v>
      </c>
      <c r="D24" s="335">
        <v>1</v>
      </c>
      <c r="E24" s="335" t="s">
        <v>126</v>
      </c>
      <c r="F24" s="339"/>
      <c r="G24" s="340"/>
      <c r="H24" s="341">
        <f t="shared" si="1"/>
        <v>0</v>
      </c>
      <c r="I24" s="346" t="s">
        <v>338</v>
      </c>
      <c r="K24" s="320"/>
    </row>
    <row r="25" spans="1:11" s="319" customFormat="1" ht="31.5">
      <c r="A25" s="343" t="s">
        <v>328</v>
      </c>
      <c r="B25" s="344" t="s">
        <v>521</v>
      </c>
      <c r="C25" s="347" t="s">
        <v>522</v>
      </c>
      <c r="D25" s="335">
        <v>1</v>
      </c>
      <c r="E25" s="335" t="s">
        <v>126</v>
      </c>
      <c r="F25" s="339"/>
      <c r="G25" s="340"/>
      <c r="H25" s="341">
        <f>D25*(F25+G25)</f>
        <v>0</v>
      </c>
      <c r="I25" s="346" t="s">
        <v>523</v>
      </c>
      <c r="K25" s="320"/>
    </row>
    <row r="26" spans="1:11" s="319" customFormat="1" ht="15.75">
      <c r="A26" s="343"/>
      <c r="B26" s="344"/>
      <c r="C26" s="348"/>
      <c r="D26" s="335"/>
      <c r="E26" s="335"/>
      <c r="F26" s="339"/>
      <c r="G26" s="340"/>
      <c r="H26" s="341"/>
      <c r="I26" s="346"/>
      <c r="K26" s="320"/>
    </row>
    <row r="27" spans="1:11" s="319" customFormat="1" ht="15.75">
      <c r="A27" s="334" t="s">
        <v>318</v>
      </c>
      <c r="B27" s="335"/>
      <c r="C27" s="336" t="s">
        <v>524</v>
      </c>
      <c r="D27" s="335"/>
      <c r="E27" s="335"/>
      <c r="F27" s="339"/>
      <c r="G27" s="340"/>
      <c r="H27" s="341"/>
      <c r="I27" s="346"/>
      <c r="K27" s="320"/>
    </row>
    <row r="28" spans="1:11" s="319" customFormat="1" ht="31.5">
      <c r="A28" s="343" t="s">
        <v>320</v>
      </c>
      <c r="B28" s="344"/>
      <c r="C28" s="347" t="s">
        <v>525</v>
      </c>
      <c r="D28" s="335">
        <v>1</v>
      </c>
      <c r="E28" s="335" t="s">
        <v>126</v>
      </c>
      <c r="F28" s="339"/>
      <c r="G28" s="340"/>
      <c r="H28" s="341">
        <f>D28*(F28+G28)</f>
        <v>0</v>
      </c>
      <c r="I28" s="346" t="s">
        <v>525</v>
      </c>
      <c r="K28" s="320"/>
    </row>
    <row r="29" spans="1:11" s="319" customFormat="1" ht="15.75">
      <c r="A29" s="343"/>
      <c r="B29" s="344"/>
      <c r="C29" s="348"/>
      <c r="D29" s="335"/>
      <c r="E29" s="335"/>
      <c r="F29" s="339"/>
      <c r="G29" s="340"/>
      <c r="H29" s="341"/>
      <c r="I29" s="346"/>
      <c r="K29" s="320"/>
    </row>
    <row r="30" spans="1:11" s="319" customFormat="1" ht="15.75">
      <c r="A30" s="334" t="s">
        <v>318</v>
      </c>
      <c r="B30" s="335"/>
      <c r="C30" s="350" t="s">
        <v>526</v>
      </c>
      <c r="D30" s="335"/>
      <c r="E30" s="335"/>
      <c r="F30" s="339"/>
      <c r="G30" s="340"/>
      <c r="H30" s="341"/>
      <c r="I30" s="346"/>
      <c r="K30" s="320"/>
    </row>
    <row r="31" spans="1:11" s="319" customFormat="1" ht="63">
      <c r="A31" s="343" t="s">
        <v>320</v>
      </c>
      <c r="B31" s="335" t="s">
        <v>527</v>
      </c>
      <c r="C31" s="347" t="s">
        <v>356</v>
      </c>
      <c r="D31" s="335">
        <v>4</v>
      </c>
      <c r="E31" s="335" t="s">
        <v>126</v>
      </c>
      <c r="F31" s="339"/>
      <c r="G31" s="340"/>
      <c r="H31" s="341">
        <f t="shared" si="0"/>
        <v>0</v>
      </c>
      <c r="I31" s="346" t="s">
        <v>528</v>
      </c>
      <c r="K31" s="320"/>
    </row>
    <row r="32" spans="1:11" s="319" customFormat="1" ht="63">
      <c r="A32" s="343" t="s">
        <v>324</v>
      </c>
      <c r="B32" s="335" t="s">
        <v>529</v>
      </c>
      <c r="C32" s="347" t="s">
        <v>359</v>
      </c>
      <c r="D32" s="335">
        <v>1</v>
      </c>
      <c r="E32" s="335" t="s">
        <v>126</v>
      </c>
      <c r="F32" s="339"/>
      <c r="G32" s="340"/>
      <c r="H32" s="341">
        <f>D32*(F32+G32)</f>
        <v>0</v>
      </c>
      <c r="I32" s="346" t="s">
        <v>530</v>
      </c>
      <c r="K32" s="320"/>
    </row>
    <row r="33" spans="1:11" s="319" customFormat="1" ht="31.5">
      <c r="A33" s="343" t="s">
        <v>328</v>
      </c>
      <c r="B33" s="335" t="s">
        <v>531</v>
      </c>
      <c r="C33" s="347" t="s">
        <v>532</v>
      </c>
      <c r="D33" s="335">
        <v>1</v>
      </c>
      <c r="E33" s="335" t="s">
        <v>126</v>
      </c>
      <c r="F33" s="339"/>
      <c r="G33" s="340"/>
      <c r="H33" s="341">
        <f t="shared" ref="H33:H37" si="2">D33*(F33+G33)</f>
        <v>0</v>
      </c>
      <c r="I33" s="352" t="s">
        <v>533</v>
      </c>
      <c r="K33" s="320"/>
    </row>
    <row r="34" spans="1:11" s="319" customFormat="1" ht="31.5">
      <c r="A34" s="343" t="s">
        <v>340</v>
      </c>
      <c r="B34" s="335" t="s">
        <v>534</v>
      </c>
      <c r="C34" s="347" t="s">
        <v>535</v>
      </c>
      <c r="D34" s="335">
        <v>1</v>
      </c>
      <c r="E34" s="335" t="s">
        <v>126</v>
      </c>
      <c r="F34" s="339"/>
      <c r="G34" s="340"/>
      <c r="H34" s="341">
        <f t="shared" si="2"/>
        <v>0</v>
      </c>
      <c r="I34" s="352" t="s">
        <v>536</v>
      </c>
      <c r="K34" s="320"/>
    </row>
    <row r="35" spans="1:11" s="319" customFormat="1" ht="31.5">
      <c r="A35" s="343" t="s">
        <v>351</v>
      </c>
      <c r="B35" s="335" t="s">
        <v>537</v>
      </c>
      <c r="C35" s="347" t="s">
        <v>538</v>
      </c>
      <c r="D35" s="335">
        <v>1</v>
      </c>
      <c r="E35" s="335" t="s">
        <v>126</v>
      </c>
      <c r="F35" s="339"/>
      <c r="G35" s="340"/>
      <c r="H35" s="341">
        <f t="shared" si="2"/>
        <v>0</v>
      </c>
      <c r="I35" s="352" t="s">
        <v>539</v>
      </c>
      <c r="K35" s="320"/>
    </row>
    <row r="36" spans="1:11" s="319" customFormat="1" ht="47.25">
      <c r="A36" s="343" t="s">
        <v>369</v>
      </c>
      <c r="B36" s="335" t="s">
        <v>540</v>
      </c>
      <c r="C36" s="347" t="s">
        <v>541</v>
      </c>
      <c r="D36" s="335">
        <v>1</v>
      </c>
      <c r="E36" s="335" t="s">
        <v>126</v>
      </c>
      <c r="F36" s="339"/>
      <c r="G36" s="340"/>
      <c r="H36" s="341">
        <f t="shared" si="2"/>
        <v>0</v>
      </c>
      <c r="I36" s="352" t="s">
        <v>542</v>
      </c>
      <c r="K36" s="320"/>
    </row>
    <row r="37" spans="1:11" s="319" customFormat="1" ht="31.5">
      <c r="A37" s="343" t="s">
        <v>373</v>
      </c>
      <c r="B37" s="335" t="s">
        <v>543</v>
      </c>
      <c r="C37" s="347" t="s">
        <v>544</v>
      </c>
      <c r="D37" s="335">
        <v>3</v>
      </c>
      <c r="E37" s="335" t="s">
        <v>126</v>
      </c>
      <c r="F37" s="339"/>
      <c r="G37" s="340"/>
      <c r="H37" s="341">
        <f t="shared" si="2"/>
        <v>0</v>
      </c>
      <c r="I37" s="346" t="s">
        <v>544</v>
      </c>
      <c r="K37" s="320"/>
    </row>
    <row r="38" spans="1:11" s="319" customFormat="1" ht="15.75">
      <c r="A38" s="343"/>
      <c r="B38" s="344"/>
      <c r="C38" s="348"/>
      <c r="D38" s="335"/>
      <c r="E38" s="335"/>
      <c r="F38" s="339"/>
      <c r="G38" s="340"/>
      <c r="H38" s="341"/>
      <c r="I38" s="346"/>
      <c r="K38" s="320"/>
    </row>
    <row r="39" spans="1:11" s="319" customFormat="1" ht="15.75">
      <c r="A39" s="334" t="s">
        <v>318</v>
      </c>
      <c r="B39" s="335"/>
      <c r="C39" s="350" t="s">
        <v>545</v>
      </c>
      <c r="D39" s="335"/>
      <c r="E39" s="335"/>
      <c r="F39" s="339"/>
      <c r="G39" s="340"/>
      <c r="H39" s="341"/>
      <c r="I39" s="346"/>
      <c r="K39" s="320"/>
    </row>
    <row r="40" spans="1:11" s="319" customFormat="1" ht="31.5">
      <c r="A40" s="343" t="s">
        <v>320</v>
      </c>
      <c r="B40" s="335" t="s">
        <v>546</v>
      </c>
      <c r="C40" s="351" t="s">
        <v>541</v>
      </c>
      <c r="D40" s="335">
        <v>2</v>
      </c>
      <c r="E40" s="335" t="s">
        <v>126</v>
      </c>
      <c r="F40" s="339"/>
      <c r="G40" s="340"/>
      <c r="H40" s="341">
        <f t="shared" ref="H40" si="3">D40*(F40+G40)</f>
        <v>0</v>
      </c>
      <c r="I40" s="352" t="s">
        <v>542</v>
      </c>
      <c r="K40" s="320"/>
    </row>
    <row r="41" spans="1:11" s="319" customFormat="1" ht="15.75">
      <c r="A41" s="343"/>
      <c r="B41" s="344"/>
      <c r="C41" s="348"/>
      <c r="D41" s="335"/>
      <c r="E41" s="335"/>
      <c r="F41" s="339"/>
      <c r="G41" s="340"/>
      <c r="H41" s="341"/>
      <c r="I41" s="346"/>
      <c r="K41" s="320"/>
    </row>
    <row r="42" spans="1:11" s="319" customFormat="1" ht="15.75">
      <c r="A42" s="334" t="s">
        <v>318</v>
      </c>
      <c r="B42" s="335"/>
      <c r="C42" s="350" t="s">
        <v>547</v>
      </c>
      <c r="D42" s="335"/>
      <c r="E42" s="335"/>
      <c r="F42" s="339"/>
      <c r="G42" s="340"/>
      <c r="H42" s="341"/>
      <c r="I42" s="346"/>
      <c r="K42" s="320"/>
    </row>
    <row r="43" spans="1:11" s="319" customFormat="1" ht="63">
      <c r="A43" s="343" t="s">
        <v>320</v>
      </c>
      <c r="B43" s="335" t="s">
        <v>548</v>
      </c>
      <c r="C43" s="347" t="s">
        <v>356</v>
      </c>
      <c r="D43" s="335">
        <v>3</v>
      </c>
      <c r="E43" s="335" t="s">
        <v>126</v>
      </c>
      <c r="F43" s="339"/>
      <c r="G43" s="340"/>
      <c r="H43" s="341">
        <f t="shared" ref="H43" si="4">D43*(F43+G43)</f>
        <v>0</v>
      </c>
      <c r="I43" s="346" t="s">
        <v>549</v>
      </c>
      <c r="K43" s="320"/>
    </row>
    <row r="44" spans="1:11" s="319" customFormat="1" ht="15.75">
      <c r="A44" s="343"/>
      <c r="B44" s="344"/>
      <c r="C44" s="348"/>
      <c r="D44" s="335"/>
      <c r="E44" s="335"/>
      <c r="F44" s="339"/>
      <c r="G44" s="340"/>
      <c r="H44" s="341"/>
      <c r="I44" s="346"/>
      <c r="K44" s="320"/>
    </row>
    <row r="45" spans="1:11" s="319" customFormat="1" ht="15.75">
      <c r="A45" s="334" t="s">
        <v>318</v>
      </c>
      <c r="B45" s="335"/>
      <c r="C45" s="350" t="s">
        <v>550</v>
      </c>
      <c r="D45" s="335"/>
      <c r="E45" s="335"/>
      <c r="F45" s="339"/>
      <c r="G45" s="340"/>
      <c r="H45" s="341"/>
      <c r="I45" s="346"/>
      <c r="K45" s="320"/>
    </row>
    <row r="46" spans="1:11" s="319" customFormat="1" ht="63">
      <c r="A46" s="343" t="s">
        <v>320</v>
      </c>
      <c r="B46" s="335" t="s">
        <v>551</v>
      </c>
      <c r="C46" s="347" t="s">
        <v>356</v>
      </c>
      <c r="D46" s="335">
        <v>1</v>
      </c>
      <c r="E46" s="335" t="s">
        <v>126</v>
      </c>
      <c r="F46" s="339"/>
      <c r="G46" s="340"/>
      <c r="H46" s="341">
        <f t="shared" ref="H46:H48" si="5">D46*(F46+G46)</f>
        <v>0</v>
      </c>
      <c r="I46" s="346" t="s">
        <v>552</v>
      </c>
      <c r="K46" s="320"/>
    </row>
    <row r="47" spans="1:11" s="319" customFormat="1" ht="31.5">
      <c r="A47" s="343" t="s">
        <v>324</v>
      </c>
      <c r="B47" s="335" t="s">
        <v>553</v>
      </c>
      <c r="C47" s="347" t="s">
        <v>554</v>
      </c>
      <c r="D47" s="335">
        <v>2</v>
      </c>
      <c r="E47" s="335" t="s">
        <v>126</v>
      </c>
      <c r="F47" s="339"/>
      <c r="G47" s="340"/>
      <c r="H47" s="341">
        <f t="shared" si="5"/>
        <v>0</v>
      </c>
      <c r="I47" s="346" t="s">
        <v>555</v>
      </c>
      <c r="K47" s="320"/>
    </row>
    <row r="48" spans="1:11" s="319" customFormat="1" ht="31.5">
      <c r="A48" s="343" t="s">
        <v>328</v>
      </c>
      <c r="B48" s="335" t="s">
        <v>556</v>
      </c>
      <c r="C48" s="347" t="s">
        <v>557</v>
      </c>
      <c r="D48" s="335">
        <v>2</v>
      </c>
      <c r="E48" s="335" t="s">
        <v>126</v>
      </c>
      <c r="F48" s="339"/>
      <c r="G48" s="340"/>
      <c r="H48" s="341">
        <f t="shared" si="5"/>
        <v>0</v>
      </c>
      <c r="I48" s="346" t="s">
        <v>558</v>
      </c>
      <c r="K48" s="320"/>
    </row>
    <row r="49" spans="1:11" s="319" customFormat="1" ht="15.75">
      <c r="A49" s="343"/>
      <c r="B49" s="344"/>
      <c r="C49" s="348"/>
      <c r="D49" s="335"/>
      <c r="E49" s="335"/>
      <c r="F49" s="339"/>
      <c r="G49" s="340"/>
      <c r="H49" s="341"/>
      <c r="I49" s="346"/>
      <c r="K49" s="320"/>
    </row>
    <row r="50" spans="1:11" s="319" customFormat="1" ht="15.75">
      <c r="A50" s="334" t="s">
        <v>318</v>
      </c>
      <c r="B50" s="335"/>
      <c r="C50" s="350" t="s">
        <v>559</v>
      </c>
      <c r="D50" s="335"/>
      <c r="E50" s="335"/>
      <c r="F50" s="339"/>
      <c r="G50" s="340"/>
      <c r="H50" s="341"/>
      <c r="I50" s="346"/>
      <c r="K50" s="320"/>
    </row>
    <row r="51" spans="1:11" s="319" customFormat="1" ht="47.25">
      <c r="A51" s="343" t="s">
        <v>320</v>
      </c>
      <c r="B51" s="335" t="s">
        <v>560</v>
      </c>
      <c r="C51" s="347" t="s">
        <v>561</v>
      </c>
      <c r="D51" s="335">
        <v>1</v>
      </c>
      <c r="E51" s="335" t="s">
        <v>126</v>
      </c>
      <c r="F51" s="339"/>
      <c r="G51" s="340"/>
      <c r="H51" s="341">
        <f t="shared" ref="H51:H52" si="6">D51*(F51+G51)</f>
        <v>0</v>
      </c>
      <c r="I51" s="346" t="s">
        <v>562</v>
      </c>
      <c r="K51" s="320"/>
    </row>
    <row r="52" spans="1:11" s="319" customFormat="1" ht="63">
      <c r="A52" s="343" t="s">
        <v>324</v>
      </c>
      <c r="B52" s="335" t="s">
        <v>563</v>
      </c>
      <c r="C52" s="347" t="s">
        <v>356</v>
      </c>
      <c r="D52" s="335">
        <v>2</v>
      </c>
      <c r="E52" s="335" t="s">
        <v>126</v>
      </c>
      <c r="F52" s="339"/>
      <c r="G52" s="340"/>
      <c r="H52" s="341">
        <f t="shared" si="6"/>
        <v>0</v>
      </c>
      <c r="I52" s="346" t="s">
        <v>549</v>
      </c>
      <c r="K52" s="320"/>
    </row>
    <row r="53" spans="1:11" s="319" customFormat="1" ht="31.5">
      <c r="A53" s="343" t="s">
        <v>328</v>
      </c>
      <c r="B53" s="335" t="s">
        <v>564</v>
      </c>
      <c r="C53" s="347" t="s">
        <v>565</v>
      </c>
      <c r="D53" s="335">
        <v>1</v>
      </c>
      <c r="E53" s="335" t="s">
        <v>126</v>
      </c>
      <c r="F53" s="339"/>
      <c r="G53" s="340"/>
      <c r="H53" s="341">
        <f t="shared" si="0"/>
        <v>0</v>
      </c>
      <c r="I53" s="346" t="s">
        <v>566</v>
      </c>
      <c r="K53" s="320"/>
    </row>
    <row r="54" spans="1:11" s="319" customFormat="1" ht="31.5">
      <c r="A54" s="343" t="s">
        <v>340</v>
      </c>
      <c r="B54" s="335" t="s">
        <v>567</v>
      </c>
      <c r="C54" s="351" t="s">
        <v>568</v>
      </c>
      <c r="D54" s="335">
        <v>1</v>
      </c>
      <c r="E54" s="335" t="s">
        <v>126</v>
      </c>
      <c r="F54" s="339"/>
      <c r="G54" s="340"/>
      <c r="H54" s="341">
        <f t="shared" si="0"/>
        <v>0</v>
      </c>
      <c r="I54" s="352" t="s">
        <v>569</v>
      </c>
      <c r="K54" s="320"/>
    </row>
    <row r="55" spans="1:11" s="319" customFormat="1" ht="31.5">
      <c r="A55" s="343" t="s">
        <v>351</v>
      </c>
      <c r="B55" s="335" t="s">
        <v>570</v>
      </c>
      <c r="C55" s="347" t="s">
        <v>406</v>
      </c>
      <c r="D55" s="335">
        <v>2</v>
      </c>
      <c r="E55" s="335" t="s">
        <v>126</v>
      </c>
      <c r="F55" s="339"/>
      <c r="G55" s="340"/>
      <c r="H55" s="341">
        <f t="shared" si="0"/>
        <v>0</v>
      </c>
      <c r="I55" s="346" t="s">
        <v>406</v>
      </c>
      <c r="K55" s="320"/>
    </row>
    <row r="56" spans="1:11" s="319" customFormat="1" ht="15.75">
      <c r="A56" s="343"/>
      <c r="B56" s="335"/>
      <c r="C56" s="347"/>
      <c r="D56" s="335"/>
      <c r="E56" s="335"/>
      <c r="F56" s="339"/>
      <c r="G56" s="340"/>
      <c r="H56" s="341"/>
      <c r="I56" s="346"/>
      <c r="K56" s="320"/>
    </row>
    <row r="57" spans="1:11" s="319" customFormat="1" ht="15.75">
      <c r="A57" s="334" t="s">
        <v>318</v>
      </c>
      <c r="B57" s="335"/>
      <c r="C57" s="336" t="s">
        <v>416</v>
      </c>
      <c r="D57" s="335"/>
      <c r="E57" s="335"/>
      <c r="F57" s="339"/>
      <c r="G57" s="340"/>
      <c r="H57" s="341"/>
      <c r="I57" s="346"/>
      <c r="K57" s="320"/>
    </row>
    <row r="58" spans="1:11" s="319" customFormat="1" ht="31.5">
      <c r="A58" s="343" t="s">
        <v>320</v>
      </c>
      <c r="B58" s="335"/>
      <c r="C58" s="347" t="s">
        <v>571</v>
      </c>
      <c r="D58" s="335">
        <v>1</v>
      </c>
      <c r="E58" s="335" t="s">
        <v>64</v>
      </c>
      <c r="F58" s="339"/>
      <c r="G58" s="340"/>
      <c r="H58" s="341">
        <f>D58*(F58+G58)</f>
        <v>0</v>
      </c>
      <c r="I58" s="352" t="s">
        <v>571</v>
      </c>
      <c r="K58" s="320"/>
    </row>
    <row r="59" spans="1:11" s="319" customFormat="1" ht="15.75">
      <c r="A59" s="343" t="s">
        <v>324</v>
      </c>
      <c r="B59" s="335"/>
      <c r="C59" s="347" t="s">
        <v>572</v>
      </c>
      <c r="D59" s="335">
        <v>1</v>
      </c>
      <c r="E59" s="335" t="s">
        <v>64</v>
      </c>
      <c r="F59" s="339"/>
      <c r="G59" s="340"/>
      <c r="H59" s="341">
        <f t="shared" si="0"/>
        <v>0</v>
      </c>
      <c r="I59" s="352" t="s">
        <v>573</v>
      </c>
      <c r="K59" s="320"/>
    </row>
    <row r="60" spans="1:11" s="319" customFormat="1" ht="53.25" customHeight="1">
      <c r="A60" s="343" t="s">
        <v>328</v>
      </c>
      <c r="B60" s="335"/>
      <c r="C60" s="347" t="s">
        <v>574</v>
      </c>
      <c r="D60" s="335">
        <v>1</v>
      </c>
      <c r="E60" s="335" t="s">
        <v>64</v>
      </c>
      <c r="F60" s="339"/>
      <c r="G60" s="340"/>
      <c r="H60" s="341">
        <f t="shared" si="0"/>
        <v>0</v>
      </c>
      <c r="I60" s="352" t="s">
        <v>575</v>
      </c>
      <c r="K60" s="320"/>
    </row>
    <row r="61" spans="1:11" s="319" customFormat="1" ht="53.25" customHeight="1">
      <c r="A61" s="343" t="s">
        <v>340</v>
      </c>
      <c r="B61" s="335"/>
      <c r="C61" s="347" t="s">
        <v>576</v>
      </c>
      <c r="D61" s="335">
        <v>1</v>
      </c>
      <c r="E61" s="335" t="s">
        <v>64</v>
      </c>
      <c r="F61" s="339"/>
      <c r="G61" s="340"/>
      <c r="H61" s="341">
        <f t="shared" si="0"/>
        <v>0</v>
      </c>
      <c r="I61" s="352" t="s">
        <v>576</v>
      </c>
      <c r="K61" s="320"/>
    </row>
    <row r="62" spans="1:11" s="319" customFormat="1" ht="31.5">
      <c r="A62" s="343" t="s">
        <v>351</v>
      </c>
      <c r="B62" s="335"/>
      <c r="C62" s="347" t="s">
        <v>577</v>
      </c>
      <c r="D62" s="335">
        <v>1</v>
      </c>
      <c r="E62" s="335" t="s">
        <v>64</v>
      </c>
      <c r="F62" s="339"/>
      <c r="G62" s="340"/>
      <c r="H62" s="341">
        <f t="shared" si="0"/>
        <v>0</v>
      </c>
      <c r="I62" s="352" t="s">
        <v>578</v>
      </c>
      <c r="K62" s="320"/>
    </row>
    <row r="63" spans="1:11" s="319" customFormat="1" ht="31.5">
      <c r="A63" s="343" t="s">
        <v>369</v>
      </c>
      <c r="B63" s="335"/>
      <c r="C63" s="347" t="s">
        <v>579</v>
      </c>
      <c r="D63" s="335">
        <v>1</v>
      </c>
      <c r="E63" s="335" t="s">
        <v>64</v>
      </c>
      <c r="F63" s="339"/>
      <c r="G63" s="340"/>
      <c r="H63" s="341">
        <f t="shared" si="0"/>
        <v>0</v>
      </c>
      <c r="I63" s="352" t="s">
        <v>580</v>
      </c>
      <c r="K63" s="320"/>
    </row>
    <row r="64" spans="1:11" s="319" customFormat="1" ht="47.25">
      <c r="A64" s="343" t="s">
        <v>373</v>
      </c>
      <c r="B64" s="335"/>
      <c r="C64" s="347" t="s">
        <v>581</v>
      </c>
      <c r="D64" s="335">
        <v>1</v>
      </c>
      <c r="E64" s="335" t="s">
        <v>64</v>
      </c>
      <c r="F64" s="339"/>
      <c r="G64" s="340"/>
      <c r="H64" s="341">
        <f t="shared" si="0"/>
        <v>0</v>
      </c>
      <c r="I64" s="352" t="s">
        <v>581</v>
      </c>
      <c r="K64" s="320"/>
    </row>
    <row r="65" spans="1:20" s="319" customFormat="1" ht="42.75" customHeight="1">
      <c r="A65" s="343" t="s">
        <v>377</v>
      </c>
      <c r="B65" s="335"/>
      <c r="C65" s="347" t="s">
        <v>582</v>
      </c>
      <c r="D65" s="335">
        <v>1</v>
      </c>
      <c r="E65" s="335" t="s">
        <v>64</v>
      </c>
      <c r="F65" s="339"/>
      <c r="G65" s="340"/>
      <c r="H65" s="341">
        <f t="shared" si="0"/>
        <v>0</v>
      </c>
      <c r="I65" s="352" t="s">
        <v>583</v>
      </c>
      <c r="K65" s="320"/>
    </row>
    <row r="66" spans="1:20" s="319" customFormat="1" ht="43.5" customHeight="1">
      <c r="A66" s="343" t="s">
        <v>381</v>
      </c>
      <c r="B66" s="335"/>
      <c r="C66" s="347" t="s">
        <v>584</v>
      </c>
      <c r="D66" s="335">
        <v>1</v>
      </c>
      <c r="E66" s="335" t="s">
        <v>64</v>
      </c>
      <c r="F66" s="339"/>
      <c r="G66" s="340"/>
      <c r="H66" s="341">
        <f t="shared" si="0"/>
        <v>0</v>
      </c>
      <c r="I66" s="352" t="s">
        <v>585</v>
      </c>
      <c r="K66" s="320"/>
    </row>
    <row r="67" spans="1:20" s="319" customFormat="1" ht="31.5">
      <c r="A67" s="343" t="s">
        <v>385</v>
      </c>
      <c r="B67" s="335"/>
      <c r="C67" s="347" t="s">
        <v>586</v>
      </c>
      <c r="D67" s="335">
        <v>1</v>
      </c>
      <c r="E67" s="335" t="s">
        <v>64</v>
      </c>
      <c r="F67" s="339"/>
      <c r="G67" s="340"/>
      <c r="H67" s="341">
        <f t="shared" si="0"/>
        <v>0</v>
      </c>
      <c r="I67" s="346" t="s">
        <v>586</v>
      </c>
      <c r="K67" s="320"/>
    </row>
    <row r="68" spans="1:20" s="319" customFormat="1" ht="15.75">
      <c r="A68" s="343" t="s">
        <v>389</v>
      </c>
      <c r="B68" s="335"/>
      <c r="C68" s="347" t="s">
        <v>421</v>
      </c>
      <c r="D68" s="335">
        <v>1</v>
      </c>
      <c r="E68" s="335" t="s">
        <v>64</v>
      </c>
      <c r="F68" s="339"/>
      <c r="G68" s="340"/>
      <c r="H68" s="341">
        <f t="shared" si="0"/>
        <v>0</v>
      </c>
      <c r="I68" s="346" t="s">
        <v>421</v>
      </c>
      <c r="K68" s="320"/>
    </row>
    <row r="69" spans="1:20" s="319" customFormat="1" ht="15.75">
      <c r="A69" s="343" t="s">
        <v>393</v>
      </c>
      <c r="B69" s="335"/>
      <c r="C69" s="347" t="s">
        <v>422</v>
      </c>
      <c r="D69" s="335">
        <v>1</v>
      </c>
      <c r="E69" s="335" t="s">
        <v>64</v>
      </c>
      <c r="F69" s="339"/>
      <c r="G69" s="340"/>
      <c r="H69" s="341">
        <f t="shared" si="0"/>
        <v>0</v>
      </c>
      <c r="I69" s="346" t="s">
        <v>422</v>
      </c>
      <c r="K69" s="320"/>
    </row>
    <row r="70" spans="1:20" s="319" customFormat="1" ht="47.25">
      <c r="A70" s="343" t="s">
        <v>397</v>
      </c>
      <c r="B70" s="335"/>
      <c r="C70" s="347" t="s">
        <v>423</v>
      </c>
      <c r="D70" s="335">
        <v>1</v>
      </c>
      <c r="E70" s="335" t="s">
        <v>64</v>
      </c>
      <c r="F70" s="339"/>
      <c r="G70" s="340"/>
      <c r="H70" s="341">
        <f t="shared" si="0"/>
        <v>0</v>
      </c>
      <c r="I70" s="346" t="s">
        <v>423</v>
      </c>
      <c r="K70" s="320"/>
    </row>
    <row r="71" spans="1:20" s="319" customFormat="1" ht="31.5">
      <c r="A71" s="343" t="s">
        <v>401</v>
      </c>
      <c r="B71" s="335"/>
      <c r="C71" s="347" t="s">
        <v>424</v>
      </c>
      <c r="D71" s="335">
        <v>1</v>
      </c>
      <c r="E71" s="335" t="s">
        <v>64</v>
      </c>
      <c r="F71" s="339"/>
      <c r="G71" s="340"/>
      <c r="H71" s="341">
        <f t="shared" si="0"/>
        <v>0</v>
      </c>
      <c r="I71" s="346" t="s">
        <v>425</v>
      </c>
      <c r="K71" s="320"/>
    </row>
    <row r="72" spans="1:20" s="319" customFormat="1" ht="15.75">
      <c r="A72" s="343"/>
      <c r="B72" s="335"/>
      <c r="C72" s="348"/>
      <c r="D72" s="358"/>
      <c r="E72" s="353"/>
      <c r="F72" s="339"/>
      <c r="G72" s="340"/>
      <c r="H72" s="341"/>
      <c r="I72" s="346"/>
      <c r="K72" s="320"/>
    </row>
    <row r="73" spans="1:20" s="319" customFormat="1" ht="15.75">
      <c r="A73" s="334" t="s">
        <v>318</v>
      </c>
      <c r="B73" s="335"/>
      <c r="C73" s="336" t="s">
        <v>426</v>
      </c>
      <c r="D73" s="335"/>
      <c r="E73" s="335"/>
      <c r="F73" s="339"/>
      <c r="G73" s="340"/>
      <c r="H73" s="341"/>
      <c r="I73" s="346"/>
      <c r="K73" s="320"/>
    </row>
    <row r="74" spans="1:20" s="319" customFormat="1" ht="15.75">
      <c r="A74" s="343" t="s">
        <v>320</v>
      </c>
      <c r="B74" s="335"/>
      <c r="C74" s="348" t="s">
        <v>427</v>
      </c>
      <c r="D74" s="359">
        <v>430</v>
      </c>
      <c r="E74" s="335" t="s">
        <v>7</v>
      </c>
      <c r="F74" s="339"/>
      <c r="G74" s="339"/>
      <c r="H74" s="341">
        <f t="shared" si="0"/>
        <v>0</v>
      </c>
      <c r="I74" s="354" t="s">
        <v>428</v>
      </c>
      <c r="K74" s="320"/>
      <c r="L74" s="388"/>
      <c r="M74" s="388"/>
      <c r="N74" s="388"/>
      <c r="O74" s="388"/>
      <c r="P74" s="388"/>
      <c r="Q74" s="388"/>
      <c r="R74" s="388"/>
      <c r="S74" s="388"/>
      <c r="T74" s="388"/>
    </row>
    <row r="75" spans="1:20" s="319" customFormat="1" ht="15.75">
      <c r="A75" s="343" t="s">
        <v>324</v>
      </c>
      <c r="B75" s="335"/>
      <c r="C75" s="348" t="s">
        <v>429</v>
      </c>
      <c r="D75" s="359">
        <v>260</v>
      </c>
      <c r="E75" s="335" t="s">
        <v>7</v>
      </c>
      <c r="F75" s="339"/>
      <c r="G75" s="339"/>
      <c r="H75" s="341">
        <f t="shared" si="0"/>
        <v>0</v>
      </c>
      <c r="I75" s="354" t="s">
        <v>428</v>
      </c>
      <c r="K75" s="320"/>
      <c r="L75" s="388"/>
      <c r="M75" s="388"/>
      <c r="N75" s="388"/>
      <c r="O75" s="388"/>
      <c r="P75" s="388"/>
      <c r="Q75" s="388"/>
      <c r="R75" s="388"/>
      <c r="S75" s="388"/>
      <c r="T75" s="388"/>
    </row>
    <row r="76" spans="1:20" s="319" customFormat="1" ht="15.75">
      <c r="A76" s="343" t="s">
        <v>328</v>
      </c>
      <c r="B76" s="335"/>
      <c r="C76" s="348" t="s">
        <v>431</v>
      </c>
      <c r="D76" s="359">
        <v>380</v>
      </c>
      <c r="E76" s="335" t="s">
        <v>7</v>
      </c>
      <c r="F76" s="339"/>
      <c r="G76" s="339"/>
      <c r="H76" s="341">
        <f t="shared" si="0"/>
        <v>0</v>
      </c>
      <c r="I76" s="354" t="s">
        <v>428</v>
      </c>
      <c r="K76" s="320"/>
      <c r="L76" s="388"/>
      <c r="M76" s="388"/>
      <c r="N76" s="388"/>
      <c r="O76" s="388"/>
      <c r="P76" s="388"/>
      <c r="Q76" s="388"/>
      <c r="R76" s="388"/>
      <c r="S76" s="388"/>
      <c r="T76" s="388"/>
    </row>
    <row r="77" spans="1:20" s="319" customFormat="1" ht="15.75">
      <c r="A77" s="343" t="s">
        <v>340</v>
      </c>
      <c r="B77" s="335"/>
      <c r="C77" s="348" t="s">
        <v>432</v>
      </c>
      <c r="D77" s="359">
        <v>90</v>
      </c>
      <c r="E77" s="335" t="s">
        <v>7</v>
      </c>
      <c r="F77" s="339"/>
      <c r="G77" s="339"/>
      <c r="H77" s="341">
        <f t="shared" si="0"/>
        <v>0</v>
      </c>
      <c r="I77" s="354" t="s">
        <v>433</v>
      </c>
      <c r="K77" s="320"/>
      <c r="L77" s="388"/>
      <c r="M77" s="388"/>
      <c r="N77" s="388"/>
      <c r="O77" s="388"/>
      <c r="P77" s="388"/>
      <c r="Q77" s="388"/>
      <c r="R77" s="388"/>
      <c r="S77" s="388"/>
      <c r="T77" s="388"/>
    </row>
    <row r="78" spans="1:20" s="319" customFormat="1" ht="15.75">
      <c r="A78" s="343" t="s">
        <v>351</v>
      </c>
      <c r="B78" s="335"/>
      <c r="C78" s="348" t="s">
        <v>434</v>
      </c>
      <c r="D78" s="359">
        <v>60</v>
      </c>
      <c r="E78" s="335" t="s">
        <v>7</v>
      </c>
      <c r="F78" s="339"/>
      <c r="G78" s="339"/>
      <c r="H78" s="341">
        <f t="shared" ref="H78:H113" si="7">D78*(F78+G78)</f>
        <v>0</v>
      </c>
      <c r="I78" s="354" t="s">
        <v>435</v>
      </c>
      <c r="K78" s="320"/>
      <c r="L78" s="388"/>
      <c r="M78" s="388"/>
      <c r="N78" s="388"/>
      <c r="O78" s="388"/>
      <c r="P78" s="388"/>
      <c r="Q78" s="388"/>
      <c r="R78" s="388"/>
      <c r="S78" s="388"/>
      <c r="T78" s="388"/>
    </row>
    <row r="79" spans="1:20" s="319" customFormat="1" ht="15.75">
      <c r="A79" s="343" t="s">
        <v>369</v>
      </c>
      <c r="B79" s="335"/>
      <c r="C79" s="348" t="s">
        <v>587</v>
      </c>
      <c r="D79" s="359">
        <v>160</v>
      </c>
      <c r="E79" s="335" t="s">
        <v>7</v>
      </c>
      <c r="F79" s="339"/>
      <c r="G79" s="339"/>
      <c r="H79" s="341">
        <f t="shared" si="7"/>
        <v>0</v>
      </c>
      <c r="I79" s="354" t="s">
        <v>588</v>
      </c>
      <c r="K79" s="320"/>
      <c r="L79" s="388"/>
      <c r="M79" s="388"/>
      <c r="N79" s="388"/>
      <c r="O79" s="388"/>
      <c r="P79" s="388"/>
      <c r="Q79" s="388"/>
      <c r="R79" s="388"/>
      <c r="S79" s="388"/>
      <c r="T79" s="388"/>
    </row>
    <row r="80" spans="1:20" s="319" customFormat="1" ht="15.75">
      <c r="A80" s="343" t="s">
        <v>373</v>
      </c>
      <c r="B80" s="335"/>
      <c r="C80" s="348" t="s">
        <v>589</v>
      </c>
      <c r="D80" s="359">
        <v>160</v>
      </c>
      <c r="E80" s="335" t="s">
        <v>7</v>
      </c>
      <c r="F80" s="339"/>
      <c r="G80" s="339"/>
      <c r="H80" s="341">
        <f>D80*(F80+G80)</f>
        <v>0</v>
      </c>
      <c r="I80" s="354" t="s">
        <v>437</v>
      </c>
      <c r="K80" s="320"/>
      <c r="L80" s="388"/>
      <c r="M80" s="388"/>
      <c r="N80" s="388"/>
      <c r="O80" s="388"/>
      <c r="P80" s="388"/>
      <c r="Q80" s="388"/>
      <c r="R80" s="388"/>
      <c r="S80" s="388"/>
      <c r="T80" s="388"/>
    </row>
    <row r="81" spans="1:20" s="319" customFormat="1" ht="15.75">
      <c r="A81" s="343" t="s">
        <v>377</v>
      </c>
      <c r="B81" s="335"/>
      <c r="C81" s="348" t="s">
        <v>590</v>
      </c>
      <c r="D81" s="359">
        <v>80</v>
      </c>
      <c r="E81" s="335" t="s">
        <v>7</v>
      </c>
      <c r="F81" s="339"/>
      <c r="G81" s="339"/>
      <c r="H81" s="341">
        <f>D81*(F81+G81)</f>
        <v>0</v>
      </c>
      <c r="I81" s="354" t="s">
        <v>591</v>
      </c>
      <c r="K81" s="320"/>
      <c r="L81" s="388"/>
      <c r="M81" s="388"/>
      <c r="N81" s="388"/>
      <c r="O81" s="388"/>
      <c r="P81" s="388"/>
      <c r="Q81" s="388"/>
      <c r="R81" s="388"/>
      <c r="S81" s="388"/>
      <c r="T81" s="388"/>
    </row>
    <row r="82" spans="1:20" s="319" customFormat="1" ht="15.75">
      <c r="A82" s="343" t="s">
        <v>381</v>
      </c>
      <c r="B82" s="335"/>
      <c r="C82" s="348" t="s">
        <v>592</v>
      </c>
      <c r="D82" s="359">
        <v>90</v>
      </c>
      <c r="E82" s="335" t="s">
        <v>7</v>
      </c>
      <c r="F82" s="339"/>
      <c r="G82" s="339"/>
      <c r="H82" s="341">
        <f>D82*(F82+G82)</f>
        <v>0</v>
      </c>
      <c r="I82" s="354" t="s">
        <v>593</v>
      </c>
      <c r="K82" s="320"/>
      <c r="L82" s="388"/>
      <c r="M82" s="388"/>
      <c r="N82" s="388"/>
      <c r="O82" s="388"/>
      <c r="P82" s="388"/>
      <c r="Q82" s="388"/>
      <c r="R82" s="388"/>
      <c r="S82" s="388"/>
      <c r="T82" s="388"/>
    </row>
    <row r="83" spans="1:20" s="319" customFormat="1" ht="15.75">
      <c r="A83" s="343" t="s">
        <v>385</v>
      </c>
      <c r="B83" s="335"/>
      <c r="C83" s="348" t="s">
        <v>594</v>
      </c>
      <c r="D83" s="359">
        <v>80</v>
      </c>
      <c r="E83" s="335" t="s">
        <v>7</v>
      </c>
      <c r="F83" s="339"/>
      <c r="G83" s="339"/>
      <c r="H83" s="341">
        <f t="shared" si="7"/>
        <v>0</v>
      </c>
      <c r="I83" s="349" t="s">
        <v>439</v>
      </c>
      <c r="K83" s="320"/>
      <c r="L83" s="388"/>
      <c r="M83" s="388"/>
      <c r="N83" s="388"/>
      <c r="O83" s="388"/>
      <c r="P83" s="388"/>
      <c r="Q83" s="388"/>
      <c r="R83" s="388"/>
      <c r="S83" s="388"/>
      <c r="T83" s="388"/>
    </row>
    <row r="84" spans="1:20" s="319" customFormat="1" ht="15.75">
      <c r="A84" s="343" t="s">
        <v>389</v>
      </c>
      <c r="B84" s="335"/>
      <c r="C84" s="348" t="s">
        <v>444</v>
      </c>
      <c r="D84" s="359">
        <v>1</v>
      </c>
      <c r="E84" s="335" t="s">
        <v>64</v>
      </c>
      <c r="F84" s="339"/>
      <c r="G84" s="339"/>
      <c r="H84" s="341">
        <f t="shared" si="7"/>
        <v>0</v>
      </c>
      <c r="I84" s="349" t="s">
        <v>444</v>
      </c>
      <c r="K84" s="320"/>
      <c r="L84" s="388"/>
      <c r="M84" s="388"/>
      <c r="N84" s="388"/>
      <c r="O84" s="388"/>
      <c r="P84" s="388"/>
      <c r="Q84" s="388"/>
      <c r="R84" s="388"/>
      <c r="S84" s="388"/>
      <c r="T84" s="388"/>
    </row>
    <row r="85" spans="1:20" s="319" customFormat="1" ht="15.75">
      <c r="A85" s="343"/>
      <c r="B85" s="335"/>
      <c r="C85" s="348"/>
      <c r="D85" s="359"/>
      <c r="E85" s="335"/>
      <c r="F85" s="339"/>
      <c r="G85" s="340"/>
      <c r="H85" s="341"/>
      <c r="I85" s="349"/>
      <c r="K85" s="320"/>
      <c r="L85" s="388"/>
      <c r="M85" s="388"/>
      <c r="N85" s="388"/>
      <c r="O85" s="388"/>
      <c r="P85" s="388"/>
      <c r="Q85" s="388"/>
      <c r="R85" s="388"/>
      <c r="S85" s="388"/>
      <c r="T85" s="388"/>
    </row>
    <row r="86" spans="1:20" s="319" customFormat="1" ht="15.75">
      <c r="A86" s="334" t="s">
        <v>318</v>
      </c>
      <c r="B86" s="335"/>
      <c r="C86" s="336" t="s">
        <v>445</v>
      </c>
      <c r="D86" s="335"/>
      <c r="E86" s="335"/>
      <c r="F86" s="339"/>
      <c r="G86" s="340"/>
      <c r="H86" s="341"/>
      <c r="I86" s="346"/>
      <c r="K86" s="320"/>
    </row>
    <row r="87" spans="1:20" s="319" customFormat="1" ht="15.75">
      <c r="A87" s="343" t="s">
        <v>320</v>
      </c>
      <c r="B87" s="344"/>
      <c r="C87" s="362" t="s">
        <v>446</v>
      </c>
      <c r="D87" s="359">
        <v>30</v>
      </c>
      <c r="E87" s="335" t="s">
        <v>7</v>
      </c>
      <c r="F87" s="339"/>
      <c r="G87" s="339"/>
      <c r="H87" s="341">
        <f t="shared" ref="H87:H93" si="8">D87*(F87+G87)</f>
        <v>0</v>
      </c>
      <c r="I87" s="346" t="s">
        <v>446</v>
      </c>
      <c r="K87" s="320"/>
    </row>
    <row r="88" spans="1:20" s="319" customFormat="1" ht="15.75">
      <c r="A88" s="343" t="s">
        <v>324</v>
      </c>
      <c r="B88" s="344"/>
      <c r="C88" s="362" t="s">
        <v>447</v>
      </c>
      <c r="D88" s="359">
        <v>40</v>
      </c>
      <c r="E88" s="335" t="s">
        <v>7</v>
      </c>
      <c r="F88" s="339"/>
      <c r="G88" s="339"/>
      <c r="H88" s="341">
        <f t="shared" si="8"/>
        <v>0</v>
      </c>
      <c r="I88" s="346" t="s">
        <v>447</v>
      </c>
      <c r="K88" s="320"/>
    </row>
    <row r="89" spans="1:20" s="319" customFormat="1" ht="15.75">
      <c r="A89" s="343" t="s">
        <v>328</v>
      </c>
      <c r="B89" s="344"/>
      <c r="C89" s="362" t="s">
        <v>449</v>
      </c>
      <c r="D89" s="359">
        <v>20</v>
      </c>
      <c r="E89" s="335" t="s">
        <v>7</v>
      </c>
      <c r="F89" s="339"/>
      <c r="G89" s="339"/>
      <c r="H89" s="341">
        <f t="shared" si="8"/>
        <v>0</v>
      </c>
      <c r="I89" s="346" t="s">
        <v>450</v>
      </c>
      <c r="K89" s="320"/>
    </row>
    <row r="90" spans="1:20" s="319" customFormat="1" ht="15.75">
      <c r="A90" s="343" t="s">
        <v>340</v>
      </c>
      <c r="B90" s="344"/>
      <c r="C90" s="362" t="s">
        <v>450</v>
      </c>
      <c r="D90" s="359">
        <v>30</v>
      </c>
      <c r="E90" s="335" t="s">
        <v>7</v>
      </c>
      <c r="F90" s="339"/>
      <c r="G90" s="339"/>
      <c r="H90" s="341">
        <f t="shared" si="8"/>
        <v>0</v>
      </c>
      <c r="I90" s="346" t="s">
        <v>450</v>
      </c>
      <c r="K90" s="320"/>
    </row>
    <row r="91" spans="1:20" s="319" customFormat="1" ht="15.75">
      <c r="A91" s="343" t="s">
        <v>351</v>
      </c>
      <c r="B91" s="344"/>
      <c r="C91" s="362" t="s">
        <v>451</v>
      </c>
      <c r="D91" s="359">
        <v>120</v>
      </c>
      <c r="E91" s="335" t="s">
        <v>7</v>
      </c>
      <c r="F91" s="339"/>
      <c r="G91" s="339"/>
      <c r="H91" s="341">
        <f t="shared" si="8"/>
        <v>0</v>
      </c>
      <c r="I91" s="346" t="s">
        <v>451</v>
      </c>
      <c r="K91" s="320"/>
    </row>
    <row r="92" spans="1:20" s="319" customFormat="1" ht="15.75">
      <c r="A92" s="343" t="s">
        <v>369</v>
      </c>
      <c r="B92" s="344"/>
      <c r="C92" s="362" t="s">
        <v>453</v>
      </c>
      <c r="D92" s="335">
        <v>1</v>
      </c>
      <c r="E92" s="335" t="s">
        <v>64</v>
      </c>
      <c r="F92" s="339"/>
      <c r="G92" s="340"/>
      <c r="H92" s="341">
        <f t="shared" si="8"/>
        <v>0</v>
      </c>
      <c r="I92" s="346" t="s">
        <v>453</v>
      </c>
      <c r="K92" s="320"/>
    </row>
    <row r="93" spans="1:20" s="319" customFormat="1" ht="15.75">
      <c r="A93" s="343" t="s">
        <v>373</v>
      </c>
      <c r="B93" s="344"/>
      <c r="C93" s="362" t="s">
        <v>454</v>
      </c>
      <c r="D93" s="335">
        <v>1</v>
      </c>
      <c r="E93" s="335" t="s">
        <v>64</v>
      </c>
      <c r="F93" s="339"/>
      <c r="G93" s="340"/>
      <c r="H93" s="341">
        <f t="shared" si="8"/>
        <v>0</v>
      </c>
      <c r="I93" s="346" t="s">
        <v>454</v>
      </c>
      <c r="K93" s="320"/>
    </row>
    <row r="94" spans="1:20" s="319" customFormat="1" ht="18" customHeight="1">
      <c r="A94" s="343"/>
      <c r="B94" s="335"/>
      <c r="C94" s="348"/>
      <c r="D94" s="358"/>
      <c r="E94" s="353"/>
      <c r="F94" s="339"/>
      <c r="G94" s="340"/>
      <c r="H94" s="341"/>
      <c r="I94" s="346"/>
      <c r="K94" s="320"/>
    </row>
    <row r="95" spans="1:20" s="319" customFormat="1" ht="15.75">
      <c r="A95" s="334" t="s">
        <v>318</v>
      </c>
      <c r="B95" s="335"/>
      <c r="C95" s="336" t="s">
        <v>595</v>
      </c>
      <c r="D95" s="335"/>
      <c r="E95" s="335"/>
      <c r="F95" s="339"/>
      <c r="G95" s="340"/>
      <c r="H95" s="341"/>
      <c r="I95" s="346"/>
      <c r="K95" s="320"/>
    </row>
    <row r="96" spans="1:20" s="319" customFormat="1" ht="31.5">
      <c r="A96" s="343" t="s">
        <v>320</v>
      </c>
      <c r="B96" s="335"/>
      <c r="C96" s="347" t="s">
        <v>596</v>
      </c>
      <c r="D96" s="335">
        <v>1</v>
      </c>
      <c r="E96" s="335" t="s">
        <v>64</v>
      </c>
      <c r="F96" s="339"/>
      <c r="G96" s="340"/>
      <c r="H96" s="341">
        <f>D96*(F96+G96)</f>
        <v>0</v>
      </c>
      <c r="I96" s="346" t="s">
        <v>596</v>
      </c>
      <c r="K96" s="320"/>
    </row>
    <row r="97" spans="1:11" s="319" customFormat="1" ht="31.5">
      <c r="A97" s="343" t="s">
        <v>324</v>
      </c>
      <c r="B97" s="335"/>
      <c r="C97" s="347" t="s">
        <v>516</v>
      </c>
      <c r="D97" s="335">
        <v>1</v>
      </c>
      <c r="E97" s="335" t="s">
        <v>126</v>
      </c>
      <c r="F97" s="339"/>
      <c r="G97" s="340"/>
      <c r="H97" s="341">
        <f t="shared" ref="H97:H98" si="9">D97*(F97+G97)</f>
        <v>0</v>
      </c>
      <c r="I97" s="346" t="s">
        <v>517</v>
      </c>
      <c r="K97" s="387"/>
    </row>
    <row r="98" spans="1:11" s="319" customFormat="1" ht="62.25" customHeight="1">
      <c r="A98" s="343" t="s">
        <v>328</v>
      </c>
      <c r="B98" s="335"/>
      <c r="C98" s="347" t="s">
        <v>597</v>
      </c>
      <c r="D98" s="335">
        <v>1</v>
      </c>
      <c r="E98" s="335" t="s">
        <v>126</v>
      </c>
      <c r="F98" s="339"/>
      <c r="G98" s="340"/>
      <c r="H98" s="341">
        <f t="shared" si="9"/>
        <v>0</v>
      </c>
      <c r="I98" s="346" t="s">
        <v>598</v>
      </c>
      <c r="K98" s="387"/>
    </row>
    <row r="99" spans="1:11" s="319" customFormat="1" ht="15.75">
      <c r="A99" s="365"/>
      <c r="B99" s="366"/>
      <c r="C99" s="367"/>
      <c r="D99" s="368"/>
      <c r="E99" s="369"/>
      <c r="F99" s="370"/>
      <c r="G99" s="371"/>
      <c r="H99" s="341"/>
      <c r="I99" s="372"/>
      <c r="K99" s="320"/>
    </row>
    <row r="100" spans="1:11" s="319" customFormat="1" ht="15.75">
      <c r="A100" s="334" t="s">
        <v>318</v>
      </c>
      <c r="B100" s="335"/>
      <c r="C100" s="336" t="s">
        <v>599</v>
      </c>
      <c r="D100" s="335"/>
      <c r="E100" s="335"/>
      <c r="F100" s="339"/>
      <c r="G100" s="340"/>
      <c r="H100" s="341"/>
      <c r="I100" s="346"/>
      <c r="K100" s="320"/>
    </row>
    <row r="101" spans="1:11" s="319" customFormat="1" ht="31.5">
      <c r="A101" s="343" t="s">
        <v>320</v>
      </c>
      <c r="B101" s="335"/>
      <c r="C101" s="347" t="s">
        <v>600</v>
      </c>
      <c r="D101" s="335">
        <v>1</v>
      </c>
      <c r="E101" s="335" t="s">
        <v>64</v>
      </c>
      <c r="F101" s="339"/>
      <c r="G101" s="340"/>
      <c r="H101" s="341">
        <f>D101*(F101+G101)</f>
        <v>0</v>
      </c>
      <c r="I101" s="346" t="s">
        <v>600</v>
      </c>
      <c r="K101" s="320"/>
    </row>
    <row r="102" spans="1:11" s="319" customFormat="1" ht="18" customHeight="1">
      <c r="A102" s="343"/>
      <c r="B102" s="335"/>
      <c r="C102" s="348"/>
      <c r="D102" s="358"/>
      <c r="E102" s="353"/>
      <c r="F102" s="339"/>
      <c r="G102" s="340"/>
      <c r="H102" s="341"/>
      <c r="I102" s="346"/>
      <c r="K102" s="320"/>
    </row>
    <row r="103" spans="1:11" s="319" customFormat="1" ht="15.75">
      <c r="A103" s="334" t="s">
        <v>318</v>
      </c>
      <c r="B103" s="335"/>
      <c r="C103" s="336" t="s">
        <v>601</v>
      </c>
      <c r="D103" s="335"/>
      <c r="E103" s="335"/>
      <c r="F103" s="339"/>
      <c r="G103" s="340"/>
      <c r="H103" s="341"/>
      <c r="I103" s="346"/>
      <c r="K103" s="320"/>
    </row>
    <row r="104" spans="1:11" s="319" customFormat="1" ht="31.5">
      <c r="A104" s="343" t="s">
        <v>320</v>
      </c>
      <c r="B104" s="335"/>
      <c r="C104" s="347" t="s">
        <v>602</v>
      </c>
      <c r="D104" s="335">
        <v>1</v>
      </c>
      <c r="E104" s="335" t="s">
        <v>64</v>
      </c>
      <c r="F104" s="339"/>
      <c r="G104" s="340"/>
      <c r="H104" s="341">
        <f>D104*(F104+G104)</f>
        <v>0</v>
      </c>
      <c r="I104" s="346" t="s">
        <v>602</v>
      </c>
      <c r="K104" s="320"/>
    </row>
    <row r="105" spans="1:11" s="319" customFormat="1" ht="18" customHeight="1">
      <c r="A105" s="343"/>
      <c r="B105" s="335"/>
      <c r="C105" s="348"/>
      <c r="D105" s="358"/>
      <c r="E105" s="353"/>
      <c r="F105" s="339"/>
      <c r="G105" s="340"/>
      <c r="H105" s="341"/>
      <c r="I105" s="346"/>
      <c r="K105" s="320"/>
    </row>
    <row r="106" spans="1:11" s="319" customFormat="1" ht="15.75">
      <c r="A106" s="334" t="s">
        <v>318</v>
      </c>
      <c r="B106" s="335"/>
      <c r="C106" s="336" t="s">
        <v>478</v>
      </c>
      <c r="D106" s="335"/>
      <c r="E106" s="335"/>
      <c r="F106" s="339"/>
      <c r="G106" s="340"/>
      <c r="H106" s="341"/>
      <c r="I106" s="346"/>
      <c r="K106" s="320"/>
    </row>
    <row r="107" spans="1:11" s="319" customFormat="1" ht="31.5">
      <c r="A107" s="343" t="s">
        <v>320</v>
      </c>
      <c r="B107" s="344"/>
      <c r="C107" s="362" t="s">
        <v>479</v>
      </c>
      <c r="D107" s="335">
        <v>1</v>
      </c>
      <c r="E107" s="335" t="s">
        <v>64</v>
      </c>
      <c r="F107" s="339"/>
      <c r="G107" s="340"/>
      <c r="H107" s="341">
        <f t="shared" si="7"/>
        <v>0</v>
      </c>
      <c r="I107" s="346" t="s">
        <v>479</v>
      </c>
      <c r="K107" s="320"/>
    </row>
    <row r="108" spans="1:11" s="319" customFormat="1" ht="15.75">
      <c r="A108" s="343" t="s">
        <v>324</v>
      </c>
      <c r="B108" s="344"/>
      <c r="C108" s="364" t="s">
        <v>481</v>
      </c>
      <c r="D108" s="335">
        <v>1</v>
      </c>
      <c r="E108" s="335" t="s">
        <v>64</v>
      </c>
      <c r="F108" s="339"/>
      <c r="G108" s="340"/>
      <c r="H108" s="341">
        <f t="shared" si="7"/>
        <v>0</v>
      </c>
      <c r="I108" s="346" t="s">
        <v>481</v>
      </c>
      <c r="K108" s="320"/>
    </row>
    <row r="109" spans="1:11" s="319" customFormat="1" ht="15.75">
      <c r="A109" s="343" t="s">
        <v>328</v>
      </c>
      <c r="B109" s="344"/>
      <c r="C109" s="364" t="s">
        <v>482</v>
      </c>
      <c r="D109" s="335">
        <v>1</v>
      </c>
      <c r="E109" s="335" t="s">
        <v>64</v>
      </c>
      <c r="F109" s="339"/>
      <c r="G109" s="340"/>
      <c r="H109" s="341">
        <f t="shared" si="7"/>
        <v>0</v>
      </c>
      <c r="I109" s="346" t="s">
        <v>483</v>
      </c>
      <c r="K109" s="320"/>
    </row>
    <row r="110" spans="1:11" s="319" customFormat="1" ht="31.5">
      <c r="A110" s="343" t="s">
        <v>340</v>
      </c>
      <c r="B110" s="335"/>
      <c r="C110" s="351" t="s">
        <v>484</v>
      </c>
      <c r="D110" s="335">
        <v>1</v>
      </c>
      <c r="E110" s="335" t="s">
        <v>64</v>
      </c>
      <c r="F110" s="339"/>
      <c r="G110" s="340"/>
      <c r="H110" s="341">
        <f t="shared" si="7"/>
        <v>0</v>
      </c>
      <c r="I110" s="346" t="s">
        <v>484</v>
      </c>
      <c r="K110" s="320"/>
    </row>
    <row r="111" spans="1:11" s="319" customFormat="1" ht="15.75">
      <c r="A111" s="343" t="s">
        <v>351</v>
      </c>
      <c r="B111" s="335"/>
      <c r="C111" s="373" t="s">
        <v>485</v>
      </c>
      <c r="D111" s="335">
        <v>1</v>
      </c>
      <c r="E111" s="335" t="s">
        <v>64</v>
      </c>
      <c r="F111" s="339"/>
      <c r="G111" s="340"/>
      <c r="H111" s="341">
        <f t="shared" si="7"/>
        <v>0</v>
      </c>
      <c r="I111" s="374" t="s">
        <v>485</v>
      </c>
      <c r="K111" s="320"/>
    </row>
    <row r="112" spans="1:11" s="319" customFormat="1" ht="15.75">
      <c r="A112" s="343" t="s">
        <v>369</v>
      </c>
      <c r="B112" s="335"/>
      <c r="C112" s="373" t="s">
        <v>486</v>
      </c>
      <c r="D112" s="335">
        <v>1</v>
      </c>
      <c r="E112" s="335" t="s">
        <v>64</v>
      </c>
      <c r="F112" s="339"/>
      <c r="G112" s="340"/>
      <c r="H112" s="341">
        <f t="shared" si="7"/>
        <v>0</v>
      </c>
      <c r="I112" s="346" t="s">
        <v>486</v>
      </c>
      <c r="K112" s="320"/>
    </row>
    <row r="113" spans="1:11" s="319" customFormat="1" ht="15.75">
      <c r="A113" s="343" t="s">
        <v>373</v>
      </c>
      <c r="B113" s="375"/>
      <c r="C113" s="373" t="s">
        <v>487</v>
      </c>
      <c r="D113" s="335">
        <v>1</v>
      </c>
      <c r="E113" s="335" t="s">
        <v>64</v>
      </c>
      <c r="F113" s="339"/>
      <c r="G113" s="340"/>
      <c r="H113" s="341">
        <f t="shared" si="7"/>
        <v>0</v>
      </c>
      <c r="I113" s="376" t="s">
        <v>487</v>
      </c>
      <c r="K113" s="320"/>
    </row>
    <row r="114" spans="1:11" s="319" customFormat="1" ht="16.5" thickBot="1">
      <c r="A114" s="377"/>
      <c r="B114" s="378"/>
      <c r="C114" s="379"/>
      <c r="D114" s="378"/>
      <c r="E114" s="378"/>
      <c r="F114" s="380"/>
      <c r="G114" s="381"/>
      <c r="H114" s="382"/>
      <c r="I114" s="383"/>
      <c r="K114" s="320"/>
    </row>
    <row r="115" spans="1:11" s="319" customFormat="1" ht="16.5" thickTop="1">
      <c r="F115" s="325"/>
      <c r="G115" s="325"/>
      <c r="H115" s="325"/>
      <c r="K115" s="320"/>
    </row>
    <row r="116" spans="1:11">
      <c r="C116" s="390" t="s">
        <v>488</v>
      </c>
      <c r="D116" s="390"/>
      <c r="E116" s="390"/>
      <c r="F116" s="391"/>
      <c r="G116" s="391"/>
      <c r="H116" s="391">
        <f>SUM(H7:H113)</f>
        <v>0</v>
      </c>
    </row>
  </sheetData>
  <pageMargins left="0.23622047244094491" right="0.15748031496062992" top="0.39370078740157483" bottom="0.23622047244094491" header="0.23622047244094491" footer="0.31496062992125984"/>
  <pageSetup paperSize="9" scale="46" fitToHeight="0" orientation="portrait" r:id="rId1"/>
  <headerFooter>
    <oddHeader>&amp;RVýkaz - výměr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6</vt:i4>
      </vt:variant>
    </vt:vector>
  </HeadingPairs>
  <TitlesOfParts>
    <vt:vector size="13" baseType="lpstr">
      <vt:lpstr>krycí list</vt:lpstr>
      <vt:lpstr>SO 01</vt:lpstr>
      <vt:lpstr>SO 02</vt:lpstr>
      <vt:lpstr>PS 01</vt:lpstr>
      <vt:lpstr>PS 01-2</vt:lpstr>
      <vt:lpstr>PS 02</vt:lpstr>
      <vt:lpstr>PS 02-2</vt:lpstr>
      <vt:lpstr>'PS 01'!Názvy_tisku</vt:lpstr>
      <vt:lpstr>'krycí list'!Oblast_tisku</vt:lpstr>
      <vt:lpstr>'PS 01'!Oblast_tisku</vt:lpstr>
      <vt:lpstr>'PS 01-2'!Oblast_tisku</vt:lpstr>
      <vt:lpstr>'PS 02'!Oblast_tisku</vt:lpstr>
      <vt:lpstr>'PS 02-2'!Oblast_tisku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HP-ENVY\HP</dc:creator>
  <cp:lastModifiedBy>Tomáš Vrátil</cp:lastModifiedBy>
  <cp:lastPrinted>2023-01-29T15:08:07Z</cp:lastPrinted>
  <dcterms:created xsi:type="dcterms:W3CDTF">2018-04-24T15:44:50Z</dcterms:created>
  <dcterms:modified xsi:type="dcterms:W3CDTF">2023-12-12T13:04:58Z</dcterms:modified>
</cp:coreProperties>
</file>